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kccagwi\Desktop\Portal_2\Files\"/>
    </mc:Choice>
  </mc:AlternateContent>
  <xr:revisionPtr revIDLastSave="0" documentId="8_{52A5181C-BD20-4F32-9DF8-CF2CF2B6D958}" xr6:coauthVersionLast="47" xr6:coauthVersionMax="47" xr10:uidLastSave="{00000000-0000-0000-0000-000000000000}"/>
  <bookViews>
    <workbookView xWindow="1485" yWindow="270" windowWidth="13965" windowHeight="15300" xr2:uid="{00000000-000D-0000-FFFF-FFFF00000000}"/>
  </bookViews>
  <sheets>
    <sheet name="New Input" sheetId="21" r:id="rId1"/>
    <sheet name="Flat" sheetId="15" r:id="rId2"/>
    <sheet name="Mono" sheetId="11" r:id="rId3"/>
    <sheet name="Duo" sheetId="4" r:id="rId4"/>
    <sheet name="Barrel Vault Roof" sheetId="14" r:id="rId5"/>
    <sheet name="Calculator" sheetId="19" state="hidden" r:id="rId6"/>
    <sheet name="Input" sheetId="1" state="hidden" r:id="rId7"/>
    <sheet name="calculation" sheetId="7" state="hidden" r:id="rId8"/>
    <sheet name="Data_Tables" sheetId="17" state="hidden" r:id="rId9"/>
    <sheet name="Walls" sheetId="13" state="hidden" r:id="rId10"/>
  </sheets>
  <definedNames>
    <definedName name="_xlnm.Print_Area" localSheetId="2">Mono!$B$1:$J$111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6" i="17" l="1"/>
  <c r="H15" i="17" s="1"/>
  <c r="H14" i="17" s="1"/>
  <c r="H13" i="17" s="1"/>
  <c r="H12" i="17" s="1"/>
  <c r="H11" i="17" s="1"/>
  <c r="H10" i="17" s="1"/>
  <c r="H9" i="17" s="1"/>
  <c r="H8" i="17" s="1"/>
  <c r="H7" i="17" s="1"/>
  <c r="H6" i="17" s="1"/>
  <c r="H5" i="17" s="1"/>
  <c r="H4" i="17" s="1"/>
  <c r="H3" i="17" s="1"/>
  <c r="H2" i="17" s="1"/>
  <c r="C3" i="14" l="1"/>
  <c r="C3" i="4"/>
  <c r="C3" i="11"/>
  <c r="C13" i="15"/>
  <c r="I74" i="14"/>
  <c r="H74" i="14"/>
  <c r="G42" i="14"/>
  <c r="F42" i="14"/>
  <c r="E42" i="14"/>
  <c r="D42" i="14"/>
  <c r="C8" i="14"/>
  <c r="C10" i="14"/>
  <c r="C9" i="14"/>
  <c r="C4" i="14"/>
  <c r="B1" i="14"/>
  <c r="I74" i="4"/>
  <c r="H42" i="4"/>
  <c r="G42" i="4"/>
  <c r="F42" i="4"/>
  <c r="E42" i="4"/>
  <c r="D42" i="4"/>
  <c r="C10" i="4"/>
  <c r="C9" i="4"/>
  <c r="C4" i="4"/>
  <c r="B1" i="4"/>
  <c r="C10" i="11" l="1"/>
  <c r="C9" i="11"/>
  <c r="C4" i="11"/>
  <c r="B1" i="11"/>
  <c r="I42" i="11"/>
  <c r="H42" i="11"/>
  <c r="G42" i="11"/>
  <c r="F42" i="11"/>
  <c r="E42" i="11"/>
  <c r="D42" i="11"/>
  <c r="B11" i="15"/>
  <c r="C20" i="15"/>
  <c r="C19" i="15"/>
  <c r="F52" i="15"/>
  <c r="E52" i="15"/>
  <c r="D52" i="15"/>
  <c r="C14" i="15"/>
  <c r="C6" i="1"/>
  <c r="E19" i="21"/>
  <c r="B4" i="19" s="1"/>
  <c r="D19" i="21"/>
  <c r="B2" i="19" s="1"/>
  <c r="C8" i="1"/>
  <c r="C7" i="1"/>
  <c r="B5" i="19"/>
  <c r="B3" i="19"/>
  <c r="H33" i="17"/>
  <c r="H32" i="17" s="1"/>
  <c r="H31" i="17" s="1"/>
  <c r="H30" i="17" s="1"/>
  <c r="H29" i="17" s="1"/>
  <c r="H28" i="17" s="1"/>
  <c r="H27" i="17" s="1"/>
  <c r="H26" i="17" s="1"/>
  <c r="H25" i="17" s="1"/>
  <c r="H24" i="17" s="1"/>
  <c r="H23" i="17" s="1"/>
  <c r="H22" i="17" s="1"/>
  <c r="H21" i="17" s="1"/>
  <c r="H20" i="17" s="1"/>
  <c r="H19" i="17" s="1"/>
  <c r="H18" i="17" s="1"/>
  <c r="H17" i="17" s="1"/>
  <c r="D118" i="19" l="1"/>
  <c r="D168" i="19"/>
  <c r="E168" i="19"/>
  <c r="E118" i="19"/>
  <c r="D68" i="19"/>
  <c r="D16" i="19"/>
  <c r="E68" i="19"/>
  <c r="E16" i="19"/>
  <c r="C2" i="19"/>
  <c r="C5" i="19"/>
  <c r="E185" i="19" l="1"/>
  <c r="G177" i="19"/>
  <c r="H177" i="19" s="1"/>
  <c r="G178" i="19"/>
  <c r="H178" i="19" s="1"/>
  <c r="G173" i="19"/>
  <c r="H173" i="19" s="1"/>
  <c r="G172" i="19"/>
  <c r="H172" i="19" s="1"/>
  <c r="G170" i="19"/>
  <c r="H170" i="19" s="1"/>
  <c r="G179" i="19"/>
  <c r="H179" i="19" s="1"/>
  <c r="G171" i="19"/>
  <c r="H171" i="19" s="1"/>
  <c r="G180" i="19"/>
  <c r="H180" i="19" s="1"/>
  <c r="G131" i="19"/>
  <c r="H131" i="19" s="1"/>
  <c r="G123" i="19"/>
  <c r="H123" i="19" s="1"/>
  <c r="G130" i="19"/>
  <c r="H130" i="19" s="1"/>
  <c r="G122" i="19"/>
  <c r="H122" i="19" s="1"/>
  <c r="G129" i="19"/>
  <c r="H129" i="19" s="1"/>
  <c r="G121" i="19"/>
  <c r="H121" i="19" s="1"/>
  <c r="G128" i="19"/>
  <c r="H128" i="19" s="1"/>
  <c r="G127" i="19"/>
  <c r="H127" i="19" s="1"/>
  <c r="G120" i="19"/>
  <c r="H120" i="19" s="1"/>
  <c r="G124" i="19"/>
  <c r="H124" i="19" s="1"/>
  <c r="E135" i="19"/>
  <c r="G80" i="19"/>
  <c r="H80" i="19" s="1"/>
  <c r="G74" i="19"/>
  <c r="H74" i="19" s="1"/>
  <c r="G79" i="19"/>
  <c r="H79" i="19" s="1"/>
  <c r="G73" i="19"/>
  <c r="H73" i="19" s="1"/>
  <c r="G78" i="19"/>
  <c r="H78" i="19" s="1"/>
  <c r="G72" i="19"/>
  <c r="H72" i="19" s="1"/>
  <c r="G70" i="19"/>
  <c r="H70" i="19" s="1"/>
  <c r="G82" i="19"/>
  <c r="H82" i="19" s="1"/>
  <c r="G81" i="19"/>
  <c r="H81" i="19" s="1"/>
  <c r="G77" i="19"/>
  <c r="H77" i="19" s="1"/>
  <c r="G71" i="19"/>
  <c r="H71" i="19" s="1"/>
  <c r="G75" i="19"/>
  <c r="H75" i="19" s="1"/>
  <c r="E27" i="19"/>
  <c r="F92" i="19" s="1"/>
  <c r="I98" i="11" s="1"/>
  <c r="E85" i="19"/>
  <c r="G20" i="19"/>
  <c r="H20" i="19" s="1"/>
  <c r="G18" i="19"/>
  <c r="H18" i="19" s="1"/>
  <c r="G24" i="19"/>
  <c r="H24" i="19" s="1"/>
  <c r="G23" i="19"/>
  <c r="H23" i="19" s="1"/>
  <c r="G22" i="19"/>
  <c r="H22" i="19" s="1"/>
  <c r="G19" i="19"/>
  <c r="H19" i="19" s="1"/>
  <c r="F189" i="19" l="1"/>
  <c r="F191" i="19"/>
  <c r="F188" i="19"/>
  <c r="F190" i="19"/>
  <c r="F187" i="19"/>
  <c r="F141" i="19"/>
  <c r="H98" i="4" s="1"/>
  <c r="F138" i="19"/>
  <c r="F139" i="19"/>
  <c r="F137" i="19"/>
  <c r="F140" i="19"/>
  <c r="F88" i="19"/>
  <c r="E98" i="11" s="1"/>
  <c r="F30" i="19"/>
  <c r="E103" i="15" s="1"/>
  <c r="F31" i="19"/>
  <c r="F103" i="15" s="1"/>
  <c r="F89" i="19"/>
  <c r="F98" i="11" s="1"/>
  <c r="F29" i="19"/>
  <c r="D103" i="15" s="1"/>
  <c r="F91" i="19"/>
  <c r="H98" i="11" s="1"/>
  <c r="F87" i="19"/>
  <c r="D98" i="11" s="1"/>
  <c r="F90" i="19"/>
  <c r="G98" i="11" s="1"/>
  <c r="C22" i="1"/>
  <c r="B20" i="7"/>
  <c r="C20" i="7" s="1"/>
  <c r="B11" i="7"/>
  <c r="D42" i="15" s="1"/>
  <c r="F60" i="7"/>
  <c r="G37" i="14" s="1"/>
  <c r="E60" i="7"/>
  <c r="F37" i="14" s="1"/>
  <c r="D60" i="7"/>
  <c r="E37" i="14" s="1"/>
  <c r="C60" i="7"/>
  <c r="D37" i="14" s="1"/>
  <c r="G48" i="7"/>
  <c r="H37" i="4" s="1"/>
  <c r="F48" i="7"/>
  <c r="G37" i="4" s="1"/>
  <c r="E48" i="7"/>
  <c r="F37" i="4" s="1"/>
  <c r="D48" i="7"/>
  <c r="E37" i="4" s="1"/>
  <c r="C48" i="7"/>
  <c r="D37" i="4" s="1"/>
  <c r="H36" i="7"/>
  <c r="I37" i="11" s="1"/>
  <c r="G36" i="7"/>
  <c r="H37" i="11" s="1"/>
  <c r="F36" i="7"/>
  <c r="G37" i="11" s="1"/>
  <c r="E36" i="7"/>
  <c r="F37" i="11" s="1"/>
  <c r="D36" i="7"/>
  <c r="E37" i="11" s="1"/>
  <c r="C36" i="7"/>
  <c r="D37" i="11" s="1"/>
  <c r="B9" i="7"/>
  <c r="D29" i="4" s="1"/>
  <c r="A24" i="13"/>
  <c r="B10" i="7"/>
  <c r="D30" i="14" s="1"/>
  <c r="B8" i="7"/>
  <c r="C25" i="13" s="1"/>
  <c r="B1" i="7"/>
  <c r="C15" i="13" s="1"/>
  <c r="B2" i="7"/>
  <c r="C16" i="13" s="1"/>
  <c r="B3" i="7"/>
  <c r="D23" i="14" s="1"/>
  <c r="B4" i="7"/>
  <c r="C18" i="13" s="1"/>
  <c r="B5" i="7"/>
  <c r="I3" i="7"/>
  <c r="D16" i="13" s="1"/>
  <c r="I11" i="7"/>
  <c r="A10" i="13" s="1"/>
  <c r="B13" i="7"/>
  <c r="B12" i="7"/>
  <c r="C5" i="14" s="1"/>
  <c r="B14" i="7"/>
  <c r="C5" i="1"/>
  <c r="N93" i="7"/>
  <c r="A1" i="13"/>
  <c r="A3" i="13"/>
  <c r="C38" i="13"/>
  <c r="D38" i="13"/>
  <c r="E38" i="13"/>
  <c r="F38" i="13"/>
  <c r="G38" i="13"/>
  <c r="H38" i="13"/>
  <c r="C49" i="13"/>
  <c r="D49" i="13"/>
  <c r="E49" i="13"/>
  <c r="F49" i="13"/>
  <c r="G49" i="13"/>
  <c r="H49" i="13"/>
  <c r="A85" i="13"/>
  <c r="A87" i="13"/>
  <c r="A89" i="13"/>
  <c r="A91" i="13"/>
  <c r="A93" i="13"/>
  <c r="A95" i="13"/>
  <c r="A97" i="13"/>
  <c r="A99" i="13"/>
  <c r="A101" i="13"/>
  <c r="A103" i="13"/>
  <c r="B39" i="7"/>
  <c r="B48" i="7"/>
  <c r="H48" i="7"/>
  <c r="B27" i="7"/>
  <c r="B28" i="7"/>
  <c r="B29" i="7"/>
  <c r="B30" i="7"/>
  <c r="B31" i="7"/>
  <c r="B32" i="7"/>
  <c r="B36" i="7"/>
  <c r="C8" i="11" s="1"/>
  <c r="B40" i="7"/>
  <c r="B41" i="7"/>
  <c r="B42" i="7"/>
  <c r="B43" i="7"/>
  <c r="B44" i="7"/>
  <c r="B51" i="7"/>
  <c r="B52" i="7"/>
  <c r="B53" i="7"/>
  <c r="B54" i="7"/>
  <c r="B55" i="7"/>
  <c r="B56" i="7"/>
  <c r="B60" i="7"/>
  <c r="G98" i="4" l="1"/>
  <c r="G98" i="14"/>
  <c r="D98" i="4"/>
  <c r="D98" i="14"/>
  <c r="F98" i="4"/>
  <c r="F98" i="14"/>
  <c r="E98" i="4"/>
  <c r="E98" i="14"/>
  <c r="L30" i="7"/>
  <c r="C7" i="14"/>
  <c r="C7" i="4"/>
  <c r="C7" i="11"/>
  <c r="L29" i="7"/>
  <c r="C6" i="14"/>
  <c r="C6" i="4"/>
  <c r="C6" i="11"/>
  <c r="C19" i="13"/>
  <c r="D25" i="14"/>
  <c r="D34" i="14"/>
  <c r="C8" i="4"/>
  <c r="C5" i="11"/>
  <c r="C5" i="4"/>
  <c r="L28" i="7"/>
  <c r="C17" i="15"/>
  <c r="C16" i="15"/>
  <c r="C15" i="15"/>
  <c r="B35" i="19" s="1"/>
  <c r="D28" i="14"/>
  <c r="D28" i="11"/>
  <c r="D24" i="4"/>
  <c r="D40" i="15"/>
  <c r="E32" i="15"/>
  <c r="E22" i="11"/>
  <c r="E22" i="4"/>
  <c r="H40" i="4"/>
  <c r="D49" i="15"/>
  <c r="D48" i="15" s="1"/>
  <c r="G40" i="14"/>
  <c r="E40" i="11"/>
  <c r="D34" i="4"/>
  <c r="D21" i="14"/>
  <c r="D34" i="11"/>
  <c r="D31" i="15"/>
  <c r="D30" i="11"/>
  <c r="D30" i="4"/>
  <c r="D35" i="15"/>
  <c r="D32" i="4"/>
  <c r="D36" i="4" s="1"/>
  <c r="C27" i="13"/>
  <c r="C26" i="13"/>
  <c r="D39" i="15"/>
  <c r="D29" i="14"/>
  <c r="D38" i="15"/>
  <c r="D28" i="4"/>
  <c r="D25" i="11"/>
  <c r="D25" i="4"/>
  <c r="D24" i="14"/>
  <c r="D29" i="11"/>
  <c r="D32" i="11"/>
  <c r="I36" i="11" s="1"/>
  <c r="C30" i="13"/>
  <c r="F37" i="13" s="1"/>
  <c r="D14" i="7"/>
  <c r="O28" i="7" s="1"/>
  <c r="B75" i="13"/>
  <c r="D32" i="14"/>
  <c r="F36" i="14" s="1"/>
  <c r="C17" i="13"/>
  <c r="B77" i="13"/>
  <c r="B76" i="13"/>
  <c r="D40" i="14"/>
  <c r="F49" i="15"/>
  <c r="F48" i="15" s="1"/>
  <c r="F40" i="4"/>
  <c r="I40" i="11"/>
  <c r="E49" i="15"/>
  <c r="E48" i="15" s="1"/>
  <c r="F40" i="14"/>
  <c r="G40" i="11"/>
  <c r="D40" i="4"/>
  <c r="E40" i="14"/>
  <c r="E40" i="4"/>
  <c r="F40" i="11"/>
  <c r="G40" i="4"/>
  <c r="G43" i="13"/>
  <c r="D40" i="11"/>
  <c r="H40" i="11"/>
  <c r="D43" i="13"/>
  <c r="F43" i="13"/>
  <c r="C43" i="13"/>
  <c r="D13" i="7"/>
  <c r="O31" i="7" s="1"/>
  <c r="D34" i="15"/>
  <c r="D24" i="11"/>
  <c r="D33" i="15"/>
  <c r="D23" i="4"/>
  <c r="D23" i="11"/>
  <c r="B6" i="7"/>
  <c r="D22" i="4"/>
  <c r="D22" i="11"/>
  <c r="D22" i="14"/>
  <c r="D32" i="15"/>
  <c r="D21" i="11"/>
  <c r="D21" i="4"/>
  <c r="E22" i="14"/>
  <c r="D36" i="14" l="1"/>
  <c r="O29" i="7"/>
  <c r="O30" i="7"/>
  <c r="O33" i="7"/>
  <c r="O32" i="7"/>
  <c r="D22" i="21"/>
  <c r="C37" i="19"/>
  <c r="C39" i="19"/>
  <c r="C38" i="19"/>
  <c r="C36" i="19"/>
  <c r="D39" i="14"/>
  <c r="E39" i="14"/>
  <c r="H37" i="13"/>
  <c r="C37" i="13"/>
  <c r="F75" i="13"/>
  <c r="F76" i="13" s="1"/>
  <c r="E42" i="13"/>
  <c r="C42" i="13"/>
  <c r="D39" i="11"/>
  <c r="E39" i="4"/>
  <c r="G42" i="13"/>
  <c r="F42" i="13"/>
  <c r="F47" i="13" s="1"/>
  <c r="E37" i="13"/>
  <c r="D42" i="13"/>
  <c r="D37" i="13"/>
  <c r="G36" i="11"/>
  <c r="E39" i="11"/>
  <c r="F36" i="4"/>
  <c r="E36" i="11"/>
  <c r="E36" i="4"/>
  <c r="G39" i="4"/>
  <c r="D39" i="4"/>
  <c r="D41" i="4" s="1"/>
  <c r="I39" i="11"/>
  <c r="I41" i="11" s="1"/>
  <c r="H36" i="11"/>
  <c r="D36" i="11"/>
  <c r="F39" i="4"/>
  <c r="H36" i="4"/>
  <c r="H39" i="4"/>
  <c r="G36" i="4"/>
  <c r="H39" i="11"/>
  <c r="F39" i="11"/>
  <c r="G39" i="11"/>
  <c r="F36" i="11"/>
  <c r="G39" i="14"/>
  <c r="G36" i="14"/>
  <c r="H42" i="13"/>
  <c r="G37" i="13"/>
  <c r="F39" i="14"/>
  <c r="F43" i="14" s="1"/>
  <c r="E36" i="14"/>
  <c r="B7" i="7"/>
  <c r="D27" i="11" s="1"/>
  <c r="D30" i="15"/>
  <c r="F77" i="13"/>
  <c r="F78" i="13" s="1"/>
  <c r="D20" i="11"/>
  <c r="C13" i="13"/>
  <c r="D20" i="4"/>
  <c r="D20" i="14"/>
  <c r="G43" i="14" l="1"/>
  <c r="G44" i="14" s="1"/>
  <c r="F44" i="14"/>
  <c r="F99" i="14"/>
  <c r="F108" i="14" s="1"/>
  <c r="D43" i="14"/>
  <c r="E43" i="14"/>
  <c r="D44" i="4"/>
  <c r="D43" i="4"/>
  <c r="D99" i="4" s="1"/>
  <c r="E41" i="11"/>
  <c r="E44" i="11" s="1"/>
  <c r="F41" i="11"/>
  <c r="F44" i="11" s="1"/>
  <c r="D41" i="11"/>
  <c r="D44" i="11" s="1"/>
  <c r="H41" i="11"/>
  <c r="G41" i="11"/>
  <c r="I43" i="11"/>
  <c r="I99" i="11" s="1"/>
  <c r="I108" i="11" s="1"/>
  <c r="I44" i="11"/>
  <c r="G41" i="4"/>
  <c r="C40" i="19"/>
  <c r="E47" i="13"/>
  <c r="H47" i="13"/>
  <c r="C47" i="13"/>
  <c r="H41" i="4"/>
  <c r="G47" i="13"/>
  <c r="F41" i="4"/>
  <c r="D47" i="13"/>
  <c r="D27" i="4"/>
  <c r="E41" i="4"/>
  <c r="C22" i="13"/>
  <c r="D27" i="14"/>
  <c r="D37" i="15"/>
  <c r="E43" i="11" l="1"/>
  <c r="E99" i="11" s="1"/>
  <c r="E108" i="11" s="1"/>
  <c r="G99" i="14"/>
  <c r="G108" i="14" s="1"/>
  <c r="E44" i="14"/>
  <c r="E99" i="14"/>
  <c r="E108" i="14" s="1"/>
  <c r="G74" i="14"/>
  <c r="F148" i="19"/>
  <c r="D44" i="14"/>
  <c r="D99" i="14"/>
  <c r="F74" i="14"/>
  <c r="F147" i="19"/>
  <c r="D108" i="4"/>
  <c r="B102" i="4"/>
  <c r="D74" i="4"/>
  <c r="F95" i="19"/>
  <c r="E44" i="4"/>
  <c r="E43" i="4"/>
  <c r="E99" i="4" s="1"/>
  <c r="E108" i="4" s="1"/>
  <c r="G44" i="4"/>
  <c r="G43" i="4"/>
  <c r="G99" i="4" s="1"/>
  <c r="G108" i="4" s="1"/>
  <c r="H44" i="4"/>
  <c r="H43" i="4"/>
  <c r="H99" i="4" s="1"/>
  <c r="H108" i="4" s="1"/>
  <c r="F44" i="4"/>
  <c r="F43" i="4"/>
  <c r="F99" i="4" s="1"/>
  <c r="F108" i="4" s="1"/>
  <c r="D43" i="11"/>
  <c r="D99" i="11" s="1"/>
  <c r="E74" i="11"/>
  <c r="F46" i="19"/>
  <c r="D74" i="11"/>
  <c r="F45" i="19"/>
  <c r="I74" i="11"/>
  <c r="F50" i="19"/>
  <c r="F74" i="11"/>
  <c r="F47" i="19"/>
  <c r="F43" i="11"/>
  <c r="F99" i="11" s="1"/>
  <c r="F108" i="11" s="1"/>
  <c r="G43" i="11"/>
  <c r="G99" i="11" s="1"/>
  <c r="G108" i="11" s="1"/>
  <c r="G44" i="11"/>
  <c r="H43" i="11"/>
  <c r="H99" i="11" s="1"/>
  <c r="H44" i="11"/>
  <c r="D43" i="19"/>
  <c r="D46" i="15" s="1"/>
  <c r="D45" i="15" s="1"/>
  <c r="D51" i="15" s="1"/>
  <c r="D53" i="15" s="1"/>
  <c r="D54" i="15" s="1"/>
  <c r="E43" i="19"/>
  <c r="E46" i="15" s="1"/>
  <c r="E45" i="15" s="1"/>
  <c r="E51" i="15" s="1"/>
  <c r="E53" i="15" s="1"/>
  <c r="F43" i="19"/>
  <c r="F46" i="15" s="1"/>
  <c r="F45" i="15" s="1"/>
  <c r="F51" i="15" s="1"/>
  <c r="F53" i="15" s="1"/>
  <c r="F54" i="15" s="1"/>
  <c r="H108" i="11" l="1"/>
  <c r="B102" i="11"/>
  <c r="E78" i="11"/>
  <c r="E81" i="11"/>
  <c r="E79" i="11"/>
  <c r="E80" i="11"/>
  <c r="D80" i="4"/>
  <c r="D78" i="4"/>
  <c r="D81" i="4"/>
  <c r="D79" i="4"/>
  <c r="G81" i="14"/>
  <c r="G79" i="14"/>
  <c r="G80" i="14"/>
  <c r="G78" i="14"/>
  <c r="F80" i="11"/>
  <c r="F78" i="11"/>
  <c r="F79" i="11"/>
  <c r="F81" i="11"/>
  <c r="I79" i="11"/>
  <c r="I80" i="11"/>
  <c r="I81" i="11"/>
  <c r="I78" i="11"/>
  <c r="D81" i="11"/>
  <c r="D79" i="11"/>
  <c r="D78" i="11"/>
  <c r="D80" i="11"/>
  <c r="F81" i="14"/>
  <c r="F79" i="14"/>
  <c r="F80" i="14"/>
  <c r="F78" i="14"/>
  <c r="F172" i="19"/>
  <c r="I172" i="19" s="1"/>
  <c r="J172" i="19" s="1"/>
  <c r="F162" i="19"/>
  <c r="F179" i="19"/>
  <c r="I179" i="19" s="1"/>
  <c r="J179" i="19" s="1"/>
  <c r="F155" i="19"/>
  <c r="D108" i="14"/>
  <c r="B102" i="14"/>
  <c r="D74" i="14"/>
  <c r="F145" i="19"/>
  <c r="F156" i="19"/>
  <c r="F180" i="19"/>
  <c r="I180" i="19" s="1"/>
  <c r="J180" i="19" s="1"/>
  <c r="F173" i="19"/>
  <c r="I173" i="19" s="1"/>
  <c r="J173" i="19" s="1"/>
  <c r="F163" i="19"/>
  <c r="E74" i="14"/>
  <c r="F146" i="19"/>
  <c r="G74" i="4"/>
  <c r="F98" i="19"/>
  <c r="E74" i="4"/>
  <c r="F96" i="19"/>
  <c r="F74" i="4"/>
  <c r="F97" i="19"/>
  <c r="H74" i="4"/>
  <c r="F99" i="19"/>
  <c r="F127" i="19"/>
  <c r="I127" i="19" s="1"/>
  <c r="J127" i="19" s="1"/>
  <c r="F120" i="19"/>
  <c r="I120" i="19" s="1"/>
  <c r="J120" i="19" s="1"/>
  <c r="F110" i="19"/>
  <c r="F103" i="19"/>
  <c r="D108" i="11"/>
  <c r="F79" i="19"/>
  <c r="I79" i="19" s="1"/>
  <c r="J79" i="19" s="1"/>
  <c r="F72" i="19"/>
  <c r="I72" i="19" s="1"/>
  <c r="J72" i="19" s="1"/>
  <c r="F78" i="19"/>
  <c r="I78" i="19" s="1"/>
  <c r="J78" i="19" s="1"/>
  <c r="F71" i="19"/>
  <c r="I71" i="19" s="1"/>
  <c r="J71" i="19" s="1"/>
  <c r="F75" i="19"/>
  <c r="I75" i="19" s="1"/>
  <c r="J75" i="19" s="1"/>
  <c r="F82" i="19"/>
  <c r="I82" i="19" s="1"/>
  <c r="J82" i="19" s="1"/>
  <c r="F77" i="19"/>
  <c r="I77" i="19" s="1"/>
  <c r="J77" i="19" s="1"/>
  <c r="F70" i="19"/>
  <c r="I70" i="19" s="1"/>
  <c r="J70" i="19" s="1"/>
  <c r="F58" i="19"/>
  <c r="F65" i="19"/>
  <c r="H74" i="11"/>
  <c r="F49" i="19"/>
  <c r="F53" i="19"/>
  <c r="F60" i="19"/>
  <c r="G74" i="11"/>
  <c r="F48" i="19"/>
  <c r="F61" i="19"/>
  <c r="F54" i="19"/>
  <c r="F62" i="19"/>
  <c r="F55" i="19"/>
  <c r="E104" i="15"/>
  <c r="E113" i="15" s="1"/>
  <c r="E54" i="15"/>
  <c r="E79" i="15" s="1"/>
  <c r="F2" i="19"/>
  <c r="F18" i="19" s="1"/>
  <c r="I18" i="19" s="1"/>
  <c r="J18" i="19" s="1"/>
  <c r="K18" i="19" s="1"/>
  <c r="D104" i="15"/>
  <c r="D113" i="15" s="1"/>
  <c r="F104" i="15"/>
  <c r="F113" i="15" s="1"/>
  <c r="F79" i="15"/>
  <c r="F4" i="19"/>
  <c r="F78" i="4" l="1"/>
  <c r="F81" i="4"/>
  <c r="F80" i="4"/>
  <c r="F79" i="4"/>
  <c r="E78" i="4"/>
  <c r="E81" i="4"/>
  <c r="E79" i="4"/>
  <c r="E80" i="4"/>
  <c r="G78" i="4"/>
  <c r="G81" i="4"/>
  <c r="G79" i="4"/>
  <c r="G80" i="4"/>
  <c r="D78" i="14"/>
  <c r="D81" i="14"/>
  <c r="D79" i="14"/>
  <c r="D80" i="14"/>
  <c r="G78" i="11"/>
  <c r="G79" i="11"/>
  <c r="G81" i="11"/>
  <c r="G80" i="11"/>
  <c r="H78" i="11"/>
  <c r="H81" i="11"/>
  <c r="H79" i="11"/>
  <c r="H80" i="11"/>
  <c r="H81" i="4"/>
  <c r="H79" i="4"/>
  <c r="H78" i="4"/>
  <c r="H80" i="4"/>
  <c r="E81" i="14"/>
  <c r="E79" i="14"/>
  <c r="E80" i="14"/>
  <c r="E78" i="14"/>
  <c r="F85" i="15"/>
  <c r="F84" i="15"/>
  <c r="F86" i="15"/>
  <c r="F83" i="15"/>
  <c r="E85" i="15"/>
  <c r="E84" i="15"/>
  <c r="E86" i="15"/>
  <c r="E83" i="15"/>
  <c r="G163" i="19"/>
  <c r="L173" i="19"/>
  <c r="K173" i="19"/>
  <c r="F171" i="19"/>
  <c r="I171" i="19" s="1"/>
  <c r="J171" i="19" s="1"/>
  <c r="F154" i="19"/>
  <c r="F161" i="19"/>
  <c r="F178" i="19"/>
  <c r="I178" i="19" s="1"/>
  <c r="J178" i="19" s="1"/>
  <c r="L180" i="19"/>
  <c r="K180" i="19"/>
  <c r="G156" i="19"/>
  <c r="F153" i="19"/>
  <c r="F177" i="19"/>
  <c r="I177" i="19" s="1"/>
  <c r="J177" i="19" s="1"/>
  <c r="F160" i="19"/>
  <c r="F170" i="19"/>
  <c r="I170" i="19" s="1"/>
  <c r="J170" i="19" s="1"/>
  <c r="G155" i="19"/>
  <c r="K179" i="19"/>
  <c r="L179" i="19"/>
  <c r="G162" i="19"/>
  <c r="L172" i="19"/>
  <c r="K172" i="19"/>
  <c r="G103" i="19"/>
  <c r="G110" i="19"/>
  <c r="F105" i="19"/>
  <c r="F129" i="19"/>
  <c r="I129" i="19" s="1"/>
  <c r="J129" i="19" s="1"/>
  <c r="F122" i="19"/>
  <c r="I122" i="19" s="1"/>
  <c r="J122" i="19" s="1"/>
  <c r="F112" i="19"/>
  <c r="K120" i="19"/>
  <c r="L120" i="19"/>
  <c r="L127" i="19"/>
  <c r="K127" i="19"/>
  <c r="F104" i="19"/>
  <c r="F121" i="19"/>
  <c r="I121" i="19" s="1"/>
  <c r="J121" i="19" s="1"/>
  <c r="F128" i="19"/>
  <c r="I128" i="19" s="1"/>
  <c r="J128" i="19" s="1"/>
  <c r="F111" i="19"/>
  <c r="F114" i="19"/>
  <c r="F131" i="19"/>
  <c r="I131" i="19" s="1"/>
  <c r="J131" i="19" s="1"/>
  <c r="F107" i="19"/>
  <c r="F124" i="19"/>
  <c r="I124" i="19" s="1"/>
  <c r="J124" i="19" s="1"/>
  <c r="F123" i="19"/>
  <c r="I123" i="19" s="1"/>
  <c r="J123" i="19" s="1"/>
  <c r="F106" i="19"/>
  <c r="G106" i="19" s="1"/>
  <c r="F130" i="19"/>
  <c r="I130" i="19" s="1"/>
  <c r="J130" i="19" s="1"/>
  <c r="F113" i="19"/>
  <c r="L70" i="19"/>
  <c r="K70" i="19"/>
  <c r="L79" i="19"/>
  <c r="K79" i="19"/>
  <c r="L72" i="19"/>
  <c r="K72" i="19"/>
  <c r="L77" i="19"/>
  <c r="K77" i="19"/>
  <c r="L82" i="19"/>
  <c r="K82" i="19"/>
  <c r="F73" i="19"/>
  <c r="I73" i="19" s="1"/>
  <c r="J73" i="19" s="1"/>
  <c r="F80" i="19"/>
  <c r="I80" i="19" s="1"/>
  <c r="J80" i="19" s="1"/>
  <c r="F74" i="19"/>
  <c r="I74" i="19" s="1"/>
  <c r="J74" i="19" s="1"/>
  <c r="F81" i="19"/>
  <c r="I81" i="19" s="1"/>
  <c r="J81" i="19" s="1"/>
  <c r="L71" i="19"/>
  <c r="K71" i="19"/>
  <c r="L75" i="19"/>
  <c r="K75" i="19"/>
  <c r="L78" i="19"/>
  <c r="K78" i="19"/>
  <c r="G60" i="19"/>
  <c r="G55" i="19"/>
  <c r="G53" i="19"/>
  <c r="G62" i="19"/>
  <c r="F64" i="19"/>
  <c r="F57" i="19"/>
  <c r="G54" i="19"/>
  <c r="F63" i="19"/>
  <c r="F56" i="19"/>
  <c r="G61" i="19"/>
  <c r="G65" i="19"/>
  <c r="G58" i="19"/>
  <c r="F11" i="19"/>
  <c r="G11" i="19" s="1"/>
  <c r="B107" i="15"/>
  <c r="F22" i="19"/>
  <c r="I22" i="19" s="1"/>
  <c r="J22" i="19" s="1"/>
  <c r="K22" i="19" s="1"/>
  <c r="L18" i="19"/>
  <c r="F7" i="19"/>
  <c r="G7" i="19" s="1"/>
  <c r="D79" i="15"/>
  <c r="F3" i="19"/>
  <c r="F20" i="19"/>
  <c r="I20" i="19" s="1"/>
  <c r="J20" i="19" s="1"/>
  <c r="F24" i="19"/>
  <c r="I24" i="19" s="1"/>
  <c r="J24" i="19" s="1"/>
  <c r="F13" i="19"/>
  <c r="F9" i="19"/>
  <c r="D83" i="15" l="1"/>
  <c r="D85" i="15"/>
  <c r="D84" i="15"/>
  <c r="D86" i="15"/>
  <c r="I54" i="19"/>
  <c r="J54" i="19"/>
  <c r="K54" i="19"/>
  <c r="H54" i="19"/>
  <c r="J106" i="19"/>
  <c r="H106" i="19"/>
  <c r="K106" i="19"/>
  <c r="I106" i="19"/>
  <c r="K156" i="19"/>
  <c r="I156" i="19"/>
  <c r="J156" i="19"/>
  <c r="H156" i="19"/>
  <c r="K58" i="19"/>
  <c r="H58" i="19"/>
  <c r="I58" i="19"/>
  <c r="J58" i="19"/>
  <c r="H62" i="19"/>
  <c r="I62" i="19"/>
  <c r="J62" i="19"/>
  <c r="K62" i="19"/>
  <c r="I65" i="19"/>
  <c r="J65" i="19"/>
  <c r="K65" i="19"/>
  <c r="H65" i="19"/>
  <c r="I53" i="19"/>
  <c r="J53" i="19"/>
  <c r="K53" i="19"/>
  <c r="H53" i="19"/>
  <c r="K61" i="19"/>
  <c r="H61" i="19"/>
  <c r="I61" i="19"/>
  <c r="J61" i="19"/>
  <c r="K55" i="19"/>
  <c r="J55" i="19"/>
  <c r="H55" i="19"/>
  <c r="I55" i="19"/>
  <c r="J110" i="19"/>
  <c r="H110" i="19"/>
  <c r="K110" i="19"/>
  <c r="I110" i="19"/>
  <c r="K155" i="19"/>
  <c r="I155" i="19"/>
  <c r="J155" i="19"/>
  <c r="H155" i="19"/>
  <c r="K60" i="19"/>
  <c r="H60" i="19"/>
  <c r="I60" i="19"/>
  <c r="J60" i="19"/>
  <c r="K103" i="19"/>
  <c r="I103" i="19"/>
  <c r="J103" i="19"/>
  <c r="H103" i="19"/>
  <c r="K162" i="19"/>
  <c r="I162" i="19"/>
  <c r="J162" i="19"/>
  <c r="H162" i="19"/>
  <c r="K163" i="19"/>
  <c r="I163" i="19"/>
  <c r="J163" i="19"/>
  <c r="H163" i="19"/>
  <c r="K11" i="19"/>
  <c r="H11" i="19"/>
  <c r="I11" i="19"/>
  <c r="J11" i="19"/>
  <c r="J7" i="19"/>
  <c r="K7" i="19"/>
  <c r="I7" i="19"/>
  <c r="H7" i="19"/>
  <c r="G161" i="19"/>
  <c r="G154" i="19"/>
  <c r="K171" i="19"/>
  <c r="L171" i="19"/>
  <c r="L170" i="19"/>
  <c r="K170" i="19"/>
  <c r="G160" i="19"/>
  <c r="L177" i="19"/>
  <c r="K177" i="19"/>
  <c r="G153" i="19"/>
  <c r="K178" i="19"/>
  <c r="L178" i="19"/>
  <c r="L128" i="19"/>
  <c r="K128" i="19"/>
  <c r="K122" i="19"/>
  <c r="L122" i="19"/>
  <c r="K123" i="19"/>
  <c r="L123" i="19"/>
  <c r="L121" i="19"/>
  <c r="K121" i="19"/>
  <c r="K129" i="19"/>
  <c r="L129" i="19"/>
  <c r="K124" i="19"/>
  <c r="L124" i="19"/>
  <c r="G104" i="19"/>
  <c r="G105" i="19"/>
  <c r="G107" i="19"/>
  <c r="L131" i="19"/>
  <c r="K131" i="19"/>
  <c r="G114" i="19"/>
  <c r="G113" i="19"/>
  <c r="L130" i="19"/>
  <c r="K130" i="19"/>
  <c r="G111" i="19"/>
  <c r="G112" i="19"/>
  <c r="K81" i="19"/>
  <c r="L81" i="19"/>
  <c r="K74" i="19"/>
  <c r="L74" i="19"/>
  <c r="L80" i="19"/>
  <c r="K80" i="19"/>
  <c r="K73" i="19"/>
  <c r="L73" i="19"/>
  <c r="G56" i="19"/>
  <c r="G63" i="19"/>
  <c r="G57" i="19"/>
  <c r="G64" i="19"/>
  <c r="L22" i="19"/>
  <c r="F12" i="19"/>
  <c r="G12" i="19" s="1"/>
  <c r="F19" i="19"/>
  <c r="I19" i="19" s="1"/>
  <c r="J19" i="19" s="1"/>
  <c r="F8" i="19"/>
  <c r="G8" i="19" s="1"/>
  <c r="F23" i="19"/>
  <c r="I23" i="19" s="1"/>
  <c r="J23" i="19" s="1"/>
  <c r="K24" i="19"/>
  <c r="L24" i="19"/>
  <c r="K20" i="19"/>
  <c r="L20" i="19"/>
  <c r="G9" i="19"/>
  <c r="G13" i="19"/>
  <c r="L156" i="19" l="1"/>
  <c r="M156" i="19" s="1"/>
  <c r="L163" i="19"/>
  <c r="M163" i="19" s="1"/>
  <c r="K161" i="19"/>
  <c r="I161" i="19"/>
  <c r="J161" i="19"/>
  <c r="H161" i="19"/>
  <c r="I64" i="19"/>
  <c r="J64" i="19"/>
  <c r="K64" i="19"/>
  <c r="H64" i="19"/>
  <c r="K114" i="19"/>
  <c r="I114" i="19"/>
  <c r="J114" i="19"/>
  <c r="H114" i="19"/>
  <c r="K160" i="19"/>
  <c r="I160" i="19"/>
  <c r="J160" i="19"/>
  <c r="H160" i="19"/>
  <c r="H113" i="19"/>
  <c r="K113" i="19"/>
  <c r="I113" i="19"/>
  <c r="J113" i="19"/>
  <c r="K57" i="19"/>
  <c r="H57" i="19"/>
  <c r="I57" i="19"/>
  <c r="J57" i="19"/>
  <c r="H63" i="19"/>
  <c r="I63" i="19"/>
  <c r="J63" i="19"/>
  <c r="K63" i="19"/>
  <c r="J56" i="19"/>
  <c r="K56" i="19"/>
  <c r="H56" i="19"/>
  <c r="I56" i="19"/>
  <c r="H112" i="19"/>
  <c r="K112" i="19"/>
  <c r="I112" i="19"/>
  <c r="J112" i="19"/>
  <c r="J107" i="19"/>
  <c r="H107" i="19"/>
  <c r="K107" i="19"/>
  <c r="I107" i="19"/>
  <c r="J111" i="19"/>
  <c r="H111" i="19"/>
  <c r="K111" i="19"/>
  <c r="I111" i="19"/>
  <c r="I105" i="19"/>
  <c r="J105" i="19"/>
  <c r="H105" i="19"/>
  <c r="K105" i="19"/>
  <c r="I104" i="19"/>
  <c r="J104" i="19"/>
  <c r="H104" i="19"/>
  <c r="K104" i="19"/>
  <c r="K153" i="19"/>
  <c r="I153" i="19"/>
  <c r="J153" i="19"/>
  <c r="H153" i="19"/>
  <c r="K154" i="19"/>
  <c r="I154" i="19"/>
  <c r="J154" i="19"/>
  <c r="H154" i="19"/>
  <c r="K13" i="19"/>
  <c r="H13" i="19"/>
  <c r="J13" i="19"/>
  <c r="I13" i="19"/>
  <c r="K12" i="19"/>
  <c r="H12" i="19"/>
  <c r="J12" i="19"/>
  <c r="I12" i="19"/>
  <c r="I8" i="19"/>
  <c r="K8" i="19"/>
  <c r="H8" i="19"/>
  <c r="J8" i="19"/>
  <c r="I9" i="19"/>
  <c r="H9" i="19"/>
  <c r="J9" i="19"/>
  <c r="K9" i="19"/>
  <c r="L155" i="19"/>
  <c r="L162" i="19"/>
  <c r="L110" i="19"/>
  <c r="P127" i="19" s="1"/>
  <c r="L103" i="19"/>
  <c r="P120" i="19" s="1"/>
  <c r="L106" i="19"/>
  <c r="P123" i="19" s="1"/>
  <c r="L61" i="19"/>
  <c r="P78" i="19" s="1"/>
  <c r="L58" i="19"/>
  <c r="P75" i="19" s="1"/>
  <c r="L62" i="19"/>
  <c r="P79" i="19" s="1"/>
  <c r="L53" i="19"/>
  <c r="P70" i="19" s="1"/>
  <c r="L54" i="19"/>
  <c r="P71" i="19" s="1"/>
  <c r="L60" i="19"/>
  <c r="P77" i="19" s="1"/>
  <c r="L55" i="19"/>
  <c r="P72" i="19" s="1"/>
  <c r="L65" i="19"/>
  <c r="P82" i="19" s="1"/>
  <c r="L11" i="19"/>
  <c r="P22" i="19" s="1"/>
  <c r="L7" i="19"/>
  <c r="M7" i="19" s="1"/>
  <c r="L23" i="19"/>
  <c r="K23" i="19"/>
  <c r="K19" i="19"/>
  <c r="L19" i="19"/>
  <c r="N156" i="19" l="1"/>
  <c r="O156" i="19" s="1"/>
  <c r="Q173" i="19" s="1"/>
  <c r="R173" i="19" s="1"/>
  <c r="G86" i="14" s="1"/>
  <c r="P173" i="19"/>
  <c r="N163" i="19"/>
  <c r="O163" i="19" s="1"/>
  <c r="Q180" i="19" s="1"/>
  <c r="R180" i="19" s="1"/>
  <c r="G92" i="14" s="1"/>
  <c r="P180" i="19"/>
  <c r="S180" i="19" s="1"/>
  <c r="G94" i="14" s="1"/>
  <c r="L161" i="19"/>
  <c r="N161" i="19" s="1"/>
  <c r="O161" i="19" s="1"/>
  <c r="Q178" i="19" s="1"/>
  <c r="L153" i="19"/>
  <c r="P179" i="19"/>
  <c r="M162" i="19"/>
  <c r="N162" i="19"/>
  <c r="O162" i="19" s="1"/>
  <c r="Q179" i="19" s="1"/>
  <c r="P172" i="19"/>
  <c r="M155" i="19"/>
  <c r="N155" i="19"/>
  <c r="O155" i="19" s="1"/>
  <c r="Q172" i="19" s="1"/>
  <c r="L154" i="19"/>
  <c r="G85" i="14"/>
  <c r="L160" i="19"/>
  <c r="S173" i="19"/>
  <c r="G88" i="14" s="1"/>
  <c r="G87" i="14"/>
  <c r="L111" i="19"/>
  <c r="P128" i="19" s="1"/>
  <c r="S128" i="19" s="1"/>
  <c r="E94" i="4" s="1"/>
  <c r="N110" i="19"/>
  <c r="O110" i="19" s="1"/>
  <c r="Q127" i="19" s="1"/>
  <c r="R127" i="19" s="1"/>
  <c r="D92" i="4" s="1"/>
  <c r="S127" i="19"/>
  <c r="D94" i="4" s="1"/>
  <c r="D93" i="4"/>
  <c r="S123" i="19"/>
  <c r="G88" i="4" s="1"/>
  <c r="G87" i="4"/>
  <c r="S120" i="19"/>
  <c r="D88" i="4" s="1"/>
  <c r="D87" i="4"/>
  <c r="M110" i="19"/>
  <c r="L107" i="19"/>
  <c r="P124" i="19" s="1"/>
  <c r="L113" i="19"/>
  <c r="P130" i="19" s="1"/>
  <c r="N106" i="19"/>
  <c r="O106" i="19" s="1"/>
  <c r="Q123" i="19" s="1"/>
  <c r="M106" i="19"/>
  <c r="L112" i="19"/>
  <c r="P129" i="19" s="1"/>
  <c r="L104" i="19"/>
  <c r="P121" i="19" s="1"/>
  <c r="M103" i="19"/>
  <c r="N103" i="19"/>
  <c r="O103" i="19" s="1"/>
  <c r="Q120" i="19" s="1"/>
  <c r="L105" i="19"/>
  <c r="P122" i="19" s="1"/>
  <c r="L114" i="19"/>
  <c r="P131" i="19" s="1"/>
  <c r="M61" i="19"/>
  <c r="L57" i="19"/>
  <c r="P74" i="19" s="1"/>
  <c r="N58" i="19"/>
  <c r="O58" i="19" s="1"/>
  <c r="Q75" i="19" s="1"/>
  <c r="R75" i="19" s="1"/>
  <c r="I86" i="11" s="1"/>
  <c r="M58" i="19"/>
  <c r="N61" i="19"/>
  <c r="O61" i="19" s="1"/>
  <c r="Q78" i="19" s="1"/>
  <c r="I93" i="11"/>
  <c r="S82" i="19"/>
  <c r="I94" i="11" s="1"/>
  <c r="S70" i="19"/>
  <c r="D87" i="11"/>
  <c r="S72" i="19"/>
  <c r="F87" i="11"/>
  <c r="S79" i="19"/>
  <c r="F93" i="11"/>
  <c r="S77" i="19"/>
  <c r="D93" i="11"/>
  <c r="S75" i="19"/>
  <c r="I88" i="11" s="1"/>
  <c r="I87" i="11"/>
  <c r="L63" i="19"/>
  <c r="P80" i="19" s="1"/>
  <c r="S71" i="19"/>
  <c r="E87" i="11"/>
  <c r="S78" i="19"/>
  <c r="E93" i="11"/>
  <c r="M54" i="19"/>
  <c r="N54" i="19"/>
  <c r="O54" i="19" s="1"/>
  <c r="Q71" i="19" s="1"/>
  <c r="L64" i="19"/>
  <c r="P81" i="19" s="1"/>
  <c r="M60" i="19"/>
  <c r="N60" i="19"/>
  <c r="O60" i="19" s="1"/>
  <c r="Q77" i="19" s="1"/>
  <c r="L56" i="19"/>
  <c r="P73" i="19" s="1"/>
  <c r="M65" i="19"/>
  <c r="N65" i="19"/>
  <c r="O65" i="19" s="1"/>
  <c r="Q82" i="19" s="1"/>
  <c r="M53" i="19"/>
  <c r="N53" i="19"/>
  <c r="O53" i="19" s="1"/>
  <c r="Q70" i="19" s="1"/>
  <c r="M55" i="19"/>
  <c r="N55" i="19"/>
  <c r="O55" i="19" s="1"/>
  <c r="Q72" i="19" s="1"/>
  <c r="M62" i="19"/>
  <c r="N62" i="19"/>
  <c r="O62" i="19" s="1"/>
  <c r="Q79" i="19" s="1"/>
  <c r="D98" i="15"/>
  <c r="N7" i="19"/>
  <c r="O7" i="19" s="1"/>
  <c r="Q18" i="19" s="1"/>
  <c r="M11" i="19"/>
  <c r="P18" i="19"/>
  <c r="N11" i="19"/>
  <c r="O11" i="19" s="1"/>
  <c r="Q22" i="19" s="1"/>
  <c r="S22" i="19"/>
  <c r="L8" i="19"/>
  <c r="M8" i="19" s="1"/>
  <c r="L12" i="19"/>
  <c r="P23" i="19" s="1"/>
  <c r="L13" i="19"/>
  <c r="P24" i="19" s="1"/>
  <c r="L9" i="19"/>
  <c r="P20" i="19" s="1"/>
  <c r="G93" i="14" l="1"/>
  <c r="G91" i="14"/>
  <c r="M161" i="19"/>
  <c r="P178" i="19"/>
  <c r="S178" i="19" s="1"/>
  <c r="E94" i="14" s="1"/>
  <c r="S172" i="19"/>
  <c r="F88" i="14" s="1"/>
  <c r="F87" i="14"/>
  <c r="R179" i="19"/>
  <c r="F92" i="14" s="1"/>
  <c r="F91" i="14"/>
  <c r="P177" i="19"/>
  <c r="M160" i="19"/>
  <c r="N160" i="19"/>
  <c r="O160" i="19" s="1"/>
  <c r="Q177" i="19" s="1"/>
  <c r="S179" i="19"/>
  <c r="F94" i="14" s="1"/>
  <c r="F93" i="14"/>
  <c r="P170" i="19"/>
  <c r="M153" i="19"/>
  <c r="N153" i="19"/>
  <c r="O153" i="19" s="1"/>
  <c r="Q170" i="19" s="1"/>
  <c r="M154" i="19"/>
  <c r="P171" i="19"/>
  <c r="N154" i="19"/>
  <c r="O154" i="19" s="1"/>
  <c r="Q171" i="19" s="1"/>
  <c r="R178" i="19"/>
  <c r="E92" i="14" s="1"/>
  <c r="E91" i="14"/>
  <c r="R172" i="19"/>
  <c r="F86" i="14" s="1"/>
  <c r="F85" i="14"/>
  <c r="N111" i="19"/>
  <c r="O111" i="19" s="1"/>
  <c r="Q128" i="19" s="1"/>
  <c r="R128" i="19" s="1"/>
  <c r="E92" i="4" s="1"/>
  <c r="M111" i="19"/>
  <c r="D91" i="4"/>
  <c r="E93" i="4"/>
  <c r="M113" i="19"/>
  <c r="S131" i="19"/>
  <c r="H94" i="4" s="1"/>
  <c r="H93" i="4"/>
  <c r="S130" i="19"/>
  <c r="G94" i="4" s="1"/>
  <c r="G93" i="4"/>
  <c r="S129" i="19"/>
  <c r="F94" i="4" s="1"/>
  <c r="F93" i="4"/>
  <c r="S124" i="19"/>
  <c r="H88" i="4" s="1"/>
  <c r="H87" i="4"/>
  <c r="S122" i="19"/>
  <c r="F88" i="4" s="1"/>
  <c r="F87" i="4"/>
  <c r="N107" i="19"/>
  <c r="O107" i="19" s="1"/>
  <c r="Q124" i="19" s="1"/>
  <c r="R120" i="19"/>
  <c r="D86" i="4" s="1"/>
  <c r="D85" i="4"/>
  <c r="M107" i="19"/>
  <c r="R123" i="19"/>
  <c r="G86" i="4" s="1"/>
  <c r="G85" i="4"/>
  <c r="S121" i="19"/>
  <c r="E88" i="4" s="1"/>
  <c r="E87" i="4"/>
  <c r="N113" i="19"/>
  <c r="O113" i="19" s="1"/>
  <c r="Q130" i="19" s="1"/>
  <c r="M104" i="19"/>
  <c r="N104" i="19"/>
  <c r="O104" i="19" s="1"/>
  <c r="Q121" i="19" s="1"/>
  <c r="M112" i="19"/>
  <c r="N112" i="19"/>
  <c r="O112" i="19" s="1"/>
  <c r="Q129" i="19" s="1"/>
  <c r="M114" i="19"/>
  <c r="N114" i="19"/>
  <c r="O114" i="19" s="1"/>
  <c r="Q131" i="19" s="1"/>
  <c r="H91" i="4" s="1"/>
  <c r="M105" i="19"/>
  <c r="N105" i="19"/>
  <c r="O105" i="19" s="1"/>
  <c r="Q122" i="19" s="1"/>
  <c r="D94" i="11"/>
  <c r="E94" i="11"/>
  <c r="R78" i="19"/>
  <c r="E88" i="11"/>
  <c r="F88" i="11"/>
  <c r="S74" i="19"/>
  <c r="D88" i="11"/>
  <c r="F94" i="11"/>
  <c r="I85" i="11"/>
  <c r="E91" i="11"/>
  <c r="N57" i="19"/>
  <c r="O57" i="19" s="1"/>
  <c r="Q74" i="19" s="1"/>
  <c r="M57" i="19"/>
  <c r="H87" i="11"/>
  <c r="M63" i="19"/>
  <c r="R77" i="19"/>
  <c r="D91" i="11"/>
  <c r="R72" i="19"/>
  <c r="F85" i="11"/>
  <c r="S81" i="19"/>
  <c r="H93" i="11"/>
  <c r="R70" i="19"/>
  <c r="D85" i="11"/>
  <c r="R82" i="19"/>
  <c r="I92" i="11" s="1"/>
  <c r="I91" i="11"/>
  <c r="R71" i="19"/>
  <c r="E85" i="11"/>
  <c r="S80" i="19"/>
  <c r="G93" i="11"/>
  <c r="R79" i="19"/>
  <c r="F91" i="11"/>
  <c r="S73" i="19"/>
  <c r="G87" i="11"/>
  <c r="N63" i="19"/>
  <c r="O63" i="19" s="1"/>
  <c r="Q80" i="19" s="1"/>
  <c r="M64" i="19"/>
  <c r="N64" i="19"/>
  <c r="O64" i="19" s="1"/>
  <c r="Q81" i="19" s="1"/>
  <c r="M56" i="19"/>
  <c r="N56" i="19"/>
  <c r="O56" i="19" s="1"/>
  <c r="Q73" i="19" s="1"/>
  <c r="D96" i="15"/>
  <c r="D99" i="15"/>
  <c r="D92" i="15"/>
  <c r="S20" i="19"/>
  <c r="D90" i="15"/>
  <c r="S24" i="19"/>
  <c r="S23" i="19"/>
  <c r="R18" i="19"/>
  <c r="S18" i="19"/>
  <c r="N12" i="19"/>
  <c r="O12" i="19" s="1"/>
  <c r="Q23" i="19" s="1"/>
  <c r="E98" i="15"/>
  <c r="M12" i="19"/>
  <c r="P19" i="19"/>
  <c r="N8" i="19"/>
  <c r="O8" i="19" s="1"/>
  <c r="Q19" i="19" s="1"/>
  <c r="R22" i="19"/>
  <c r="M9" i="19"/>
  <c r="F98" i="15"/>
  <c r="F92" i="15"/>
  <c r="M13" i="19"/>
  <c r="N13" i="19"/>
  <c r="O13" i="19" s="1"/>
  <c r="N9" i="19"/>
  <c r="O9" i="19" s="1"/>
  <c r="E93" i="14" l="1"/>
  <c r="R171" i="19"/>
  <c r="E86" i="14" s="1"/>
  <c r="E85" i="14"/>
  <c r="R177" i="19"/>
  <c r="D92" i="14" s="1"/>
  <c r="D91" i="14"/>
  <c r="S171" i="19"/>
  <c r="E88" i="14" s="1"/>
  <c r="E87" i="14"/>
  <c r="S177" i="19"/>
  <c r="D94" i="14" s="1"/>
  <c r="D93" i="14"/>
  <c r="R170" i="19"/>
  <c r="D86" i="14" s="1"/>
  <c r="D85" i="14"/>
  <c r="S170" i="19"/>
  <c r="D88" i="14" s="1"/>
  <c r="D87" i="14"/>
  <c r="E91" i="4"/>
  <c r="R122" i="19"/>
  <c r="F86" i="4" s="1"/>
  <c r="F85" i="4"/>
  <c r="R130" i="19"/>
  <c r="G92" i="4" s="1"/>
  <c r="G91" i="4"/>
  <c r="R131" i="19"/>
  <c r="H92" i="4" s="1"/>
  <c r="R124" i="19"/>
  <c r="H86" i="4" s="1"/>
  <c r="H85" i="4"/>
  <c r="R129" i="19"/>
  <c r="F92" i="4" s="1"/>
  <c r="F91" i="4"/>
  <c r="R121" i="19"/>
  <c r="E86" i="4" s="1"/>
  <c r="E85" i="4"/>
  <c r="F92" i="11"/>
  <c r="D86" i="11"/>
  <c r="E92" i="11"/>
  <c r="G94" i="11"/>
  <c r="H94" i="11"/>
  <c r="R74" i="19"/>
  <c r="H88" i="11"/>
  <c r="G88" i="11"/>
  <c r="D92" i="11"/>
  <c r="E86" i="11"/>
  <c r="F86" i="11"/>
  <c r="H85" i="11"/>
  <c r="H91" i="11"/>
  <c r="R81" i="19"/>
  <c r="R80" i="19"/>
  <c r="G91" i="11"/>
  <c r="R73" i="19"/>
  <c r="G85" i="11"/>
  <c r="D91" i="15"/>
  <c r="F93" i="15"/>
  <c r="E99" i="15"/>
  <c r="D97" i="15"/>
  <c r="F99" i="15"/>
  <c r="D93" i="15"/>
  <c r="E96" i="15"/>
  <c r="R23" i="19"/>
  <c r="R19" i="19"/>
  <c r="E90" i="15"/>
  <c r="E92" i="15"/>
  <c r="S19" i="19"/>
  <c r="Q24" i="19"/>
  <c r="Q20" i="19"/>
  <c r="H86" i="11" l="1"/>
  <c r="G92" i="11"/>
  <c r="G86" i="11"/>
  <c r="H92" i="11"/>
  <c r="E91" i="15"/>
  <c r="E97" i="15"/>
  <c r="F90" i="15"/>
  <c r="F96" i="15"/>
  <c r="E93" i="15"/>
  <c r="R20" i="19"/>
  <c r="R24" i="19"/>
  <c r="F97" i="15" l="1"/>
  <c r="F91" i="15"/>
</calcChain>
</file>

<file path=xl/sharedStrings.xml><?xml version="1.0" encoding="utf-8"?>
<sst xmlns="http://schemas.openxmlformats.org/spreadsheetml/2006/main" count="919" uniqueCount="337">
  <si>
    <t>Height</t>
  </si>
  <si>
    <t>m</t>
  </si>
  <si>
    <t>m/s</t>
  </si>
  <si>
    <t>Mono pitch</t>
  </si>
  <si>
    <t>pitch</t>
  </si>
  <si>
    <t>zone A</t>
  </si>
  <si>
    <t>zone B</t>
  </si>
  <si>
    <t>Zone C</t>
  </si>
  <si>
    <t>Zone D</t>
  </si>
  <si>
    <t>Zone E</t>
  </si>
  <si>
    <t>Zone F</t>
  </si>
  <si>
    <t>Pitch</t>
  </si>
  <si>
    <t>Zone A</t>
  </si>
  <si>
    <t>Zone B</t>
  </si>
  <si>
    <t>Duo pitch</t>
  </si>
  <si>
    <t>www.roofconsult.co.uk</t>
  </si>
  <si>
    <t>e-mail:</t>
  </si>
  <si>
    <t>david@roofconsult.co.uk</t>
  </si>
  <si>
    <t>Tel:</t>
  </si>
  <si>
    <t>Walls</t>
  </si>
  <si>
    <t>Isolated</t>
  </si>
  <si>
    <t>Funnelling</t>
  </si>
  <si>
    <t>Roof pitch</t>
  </si>
  <si>
    <t>Dominant Opening</t>
  </si>
  <si>
    <t>Cpi</t>
  </si>
  <si>
    <t>Wind Load Calculation</t>
  </si>
  <si>
    <t>Wind Loads</t>
  </si>
  <si>
    <t>External Surface</t>
  </si>
  <si>
    <t>Internal Surface</t>
  </si>
  <si>
    <r>
      <t>Total Pressure kN/m</t>
    </r>
    <r>
      <rPr>
        <vertAlign val="superscript"/>
        <sz val="10"/>
        <rFont val="Arial"/>
        <family val="2"/>
      </rPr>
      <t>2</t>
    </r>
  </si>
  <si>
    <t>o</t>
  </si>
  <si>
    <r>
      <t>C</t>
    </r>
    <r>
      <rPr>
        <vertAlign val="subscript"/>
        <sz val="10"/>
        <rFont val="Arial"/>
        <family val="2"/>
      </rPr>
      <t>pe</t>
    </r>
    <r>
      <rPr>
        <sz val="10"/>
        <rFont val="Arial"/>
        <family val="2"/>
      </rPr>
      <t xml:space="preserve">  is the external pressure coefficient</t>
    </r>
  </si>
  <si>
    <r>
      <t>C</t>
    </r>
    <r>
      <rPr>
        <vertAlign val="subscript"/>
        <sz val="10"/>
        <rFont val="Arial"/>
        <family val="2"/>
      </rPr>
      <t>pi</t>
    </r>
    <r>
      <rPr>
        <sz val="10"/>
        <rFont val="Arial"/>
        <family val="2"/>
      </rPr>
      <t xml:space="preserve">  is the internal pressure coefficient</t>
    </r>
  </si>
  <si>
    <r>
      <t>p = p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- p</t>
    </r>
    <r>
      <rPr>
        <vertAlign val="subscript"/>
        <sz val="10"/>
        <rFont val="Arial"/>
        <family val="2"/>
      </rPr>
      <t>i</t>
    </r>
  </si>
  <si>
    <t>Duopitch Roof</t>
  </si>
  <si>
    <t>Monopitch Roof</t>
  </si>
  <si>
    <t>Barrel Vault</t>
  </si>
  <si>
    <t>Building Height</t>
  </si>
  <si>
    <t>Building Length</t>
  </si>
  <si>
    <t>width</t>
  </si>
  <si>
    <t>length</t>
  </si>
  <si>
    <t>Project Reference</t>
  </si>
  <si>
    <t>a</t>
  </si>
  <si>
    <t>b</t>
  </si>
  <si>
    <t>b =</t>
  </si>
  <si>
    <t>a =</t>
  </si>
  <si>
    <t>b/10 =</t>
  </si>
  <si>
    <t>a/4 =</t>
  </si>
  <si>
    <t>a/10 =</t>
  </si>
  <si>
    <t>Barrel Vault Roof</t>
  </si>
  <si>
    <t>b/5 =</t>
  </si>
  <si>
    <t>a/5 =</t>
  </si>
  <si>
    <t>Building Width</t>
  </si>
  <si>
    <t>Flat Roof</t>
  </si>
  <si>
    <t>b = Length or 2 x Building Height whichever is the smaller</t>
  </si>
  <si>
    <t>Site Details</t>
  </si>
  <si>
    <t>Site Altitude</t>
  </si>
  <si>
    <t>Website:</t>
  </si>
  <si>
    <t>a = Width or 2 x Building Height whichever is the smaller</t>
  </si>
  <si>
    <t>Building Details</t>
  </si>
  <si>
    <t xml:space="preserve">Width </t>
  </si>
  <si>
    <t>Length</t>
  </si>
  <si>
    <t>b/4 =</t>
  </si>
  <si>
    <t>Topography Significant</t>
  </si>
  <si>
    <t>Yes</t>
  </si>
  <si>
    <t>No</t>
  </si>
  <si>
    <r>
      <t>kN/m</t>
    </r>
    <r>
      <rPr>
        <vertAlign val="superscript"/>
        <sz val="10"/>
        <rFont val="Arial"/>
        <family val="2"/>
      </rPr>
      <t>2</t>
    </r>
  </si>
  <si>
    <t>Client</t>
  </si>
  <si>
    <t>Notes</t>
  </si>
  <si>
    <t>You must run BREVe3 again to update results</t>
  </si>
  <si>
    <r>
      <t>Altitude Factor (C</t>
    </r>
    <r>
      <rPr>
        <b/>
        <vertAlign val="subscript"/>
        <sz val="10"/>
        <rFont val="Arial"/>
        <family val="2"/>
      </rPr>
      <t>alt</t>
    </r>
    <r>
      <rPr>
        <b/>
        <sz val="10"/>
        <rFont val="Arial"/>
        <family val="2"/>
      </rPr>
      <t>)</t>
    </r>
  </si>
  <si>
    <r>
      <t>Wind Speed (V</t>
    </r>
    <r>
      <rPr>
        <b/>
        <vertAlign val="subscript"/>
        <sz val="10"/>
        <rFont val="Arial"/>
        <family val="2"/>
      </rPr>
      <t>bmap</t>
    </r>
    <r>
      <rPr>
        <b/>
        <sz val="10"/>
        <rFont val="Arial"/>
        <family val="2"/>
      </rPr>
      <t>)</t>
    </r>
  </si>
  <si>
    <r>
      <t>Direction Factor (C</t>
    </r>
    <r>
      <rPr>
        <b/>
        <vertAlign val="subscript"/>
        <sz val="10"/>
        <rFont val="Arial"/>
        <family val="2"/>
      </rPr>
      <t>dir</t>
    </r>
    <r>
      <rPr>
        <b/>
        <sz val="10"/>
        <rFont val="Arial"/>
        <family val="2"/>
      </rPr>
      <t>)</t>
    </r>
  </si>
  <si>
    <r>
      <t>Seasonal Factor (C</t>
    </r>
    <r>
      <rPr>
        <b/>
        <vertAlign val="subscript"/>
        <sz val="10"/>
        <rFont val="Arial"/>
        <family val="2"/>
      </rPr>
      <t>season</t>
    </r>
    <r>
      <rPr>
        <b/>
        <sz val="10"/>
        <rFont val="Arial"/>
        <family val="2"/>
      </rPr>
      <t>)</t>
    </r>
  </si>
  <si>
    <r>
      <t>Propability Factor (C</t>
    </r>
    <r>
      <rPr>
        <b/>
        <vertAlign val="subscript"/>
        <sz val="10"/>
        <rFont val="Arial"/>
        <family val="2"/>
      </rPr>
      <t>prop</t>
    </r>
    <r>
      <rPr>
        <b/>
        <sz val="10"/>
        <rFont val="Arial"/>
        <family val="2"/>
      </rPr>
      <t>)</t>
    </r>
  </si>
  <si>
    <t>Wind load Calculations to NA to BS EN 1991-1-4:2005</t>
  </si>
  <si>
    <r>
      <t>Orography factor C</t>
    </r>
    <r>
      <rPr>
        <b/>
        <vertAlign val="subscript"/>
        <sz val="10"/>
        <rFont val="Arial"/>
        <family val="2"/>
      </rPr>
      <t>o</t>
    </r>
    <r>
      <rPr>
        <b/>
        <sz val="10"/>
        <rFont val="Arial"/>
        <family val="2"/>
      </rPr>
      <t>(Z)</t>
    </r>
  </si>
  <si>
    <r>
      <t>Peak Velocity Pressure q</t>
    </r>
    <r>
      <rPr>
        <b/>
        <vertAlign val="subscript"/>
        <sz val="10"/>
        <rFont val="Arial"/>
        <family val="2"/>
      </rPr>
      <t>p</t>
    </r>
  </si>
  <si>
    <r>
      <t>Correction Factor c</t>
    </r>
    <r>
      <rPr>
        <b/>
        <vertAlign val="subscript"/>
        <sz val="10"/>
        <rFont val="Arial"/>
        <family val="2"/>
      </rPr>
      <t>r,T</t>
    </r>
  </si>
  <si>
    <r>
      <t>Exposure Factor C</t>
    </r>
    <r>
      <rPr>
        <b/>
        <vertAlign val="subscript"/>
        <sz val="10"/>
        <rFont val="Arial"/>
        <family val="2"/>
      </rPr>
      <t>e(Z)</t>
    </r>
  </si>
  <si>
    <t>qp</t>
  </si>
  <si>
    <t>BREVe3 site data for SE298331</t>
  </si>
  <si>
    <t>Orography Significant (topography)</t>
  </si>
  <si>
    <t>Take into Account Adjacent Buildings</t>
  </si>
  <si>
    <t>Adjacent Building</t>
  </si>
  <si>
    <t>The calculations have been carried out in accordance with the requirements of NA to BS EN 1991-1-4:2005 the UK National Annex to Eurocode 1 – Actions on structures Part 1-4:</t>
  </si>
  <si>
    <t>Basic Wind Velocity</t>
  </si>
  <si>
    <r>
      <t>Wind Speed (V</t>
    </r>
    <r>
      <rPr>
        <vertAlign val="subscript"/>
        <sz val="10"/>
        <rFont val="Arial"/>
        <family val="2"/>
      </rPr>
      <t>bmap</t>
    </r>
    <r>
      <rPr>
        <sz val="10"/>
        <rFont val="Arial"/>
        <family val="2"/>
      </rPr>
      <t>)</t>
    </r>
  </si>
  <si>
    <r>
      <t>Altitude Factor (C</t>
    </r>
    <r>
      <rPr>
        <vertAlign val="subscript"/>
        <sz val="10"/>
        <rFont val="Arial"/>
        <family val="2"/>
      </rPr>
      <t>alt</t>
    </r>
    <r>
      <rPr>
        <sz val="10"/>
        <rFont val="Arial"/>
        <family val="2"/>
      </rPr>
      <t>)</t>
    </r>
  </si>
  <si>
    <r>
      <t>Direction Factor (C</t>
    </r>
    <r>
      <rPr>
        <vertAlign val="subscript"/>
        <sz val="10"/>
        <rFont val="Arial"/>
        <family val="2"/>
      </rPr>
      <t>dir</t>
    </r>
    <r>
      <rPr>
        <sz val="10"/>
        <rFont val="Arial"/>
        <family val="2"/>
      </rPr>
      <t>)</t>
    </r>
  </si>
  <si>
    <r>
      <t>Seasonal Factor (C</t>
    </r>
    <r>
      <rPr>
        <vertAlign val="subscript"/>
        <sz val="10"/>
        <rFont val="Arial"/>
        <family val="2"/>
      </rPr>
      <t>season</t>
    </r>
    <r>
      <rPr>
        <sz val="10"/>
        <rFont val="Arial"/>
        <family val="2"/>
      </rPr>
      <t>)</t>
    </r>
  </si>
  <si>
    <r>
      <t>Propability Factor (C</t>
    </r>
    <r>
      <rPr>
        <vertAlign val="subscript"/>
        <sz val="10"/>
        <rFont val="Arial"/>
        <family val="2"/>
      </rPr>
      <t>prop</t>
    </r>
    <r>
      <rPr>
        <sz val="10"/>
        <rFont val="Arial"/>
        <family val="2"/>
      </rPr>
      <t>)</t>
    </r>
  </si>
  <si>
    <r>
      <t>V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>= V</t>
    </r>
    <r>
      <rPr>
        <vertAlign val="subscript"/>
        <sz val="10"/>
        <rFont val="Arial"/>
        <family val="2"/>
      </rPr>
      <t>bmap</t>
    </r>
    <r>
      <rPr>
        <sz val="10"/>
        <rFont val="Arial"/>
        <family val="2"/>
      </rPr>
      <t xml:space="preserve"> x C</t>
    </r>
    <r>
      <rPr>
        <vertAlign val="subscript"/>
        <sz val="10"/>
        <rFont val="Arial"/>
        <family val="2"/>
      </rPr>
      <t>alt</t>
    </r>
    <r>
      <rPr>
        <sz val="10"/>
        <rFont val="Arial"/>
        <family val="2"/>
      </rPr>
      <t xml:space="preserve"> x C</t>
    </r>
    <r>
      <rPr>
        <vertAlign val="subscript"/>
        <sz val="10"/>
        <rFont val="Arial"/>
        <family val="2"/>
      </rPr>
      <t xml:space="preserve">dir </t>
    </r>
    <r>
      <rPr>
        <sz val="10"/>
        <rFont val="Arial"/>
        <family val="2"/>
      </rPr>
      <t>x C</t>
    </r>
    <r>
      <rPr>
        <vertAlign val="subscript"/>
        <sz val="10"/>
        <rFont val="Arial"/>
        <family val="2"/>
      </rPr>
      <t>season</t>
    </r>
    <r>
      <rPr>
        <sz val="10"/>
        <rFont val="Arial"/>
        <family val="2"/>
      </rPr>
      <t xml:space="preserve"> x C</t>
    </r>
    <r>
      <rPr>
        <vertAlign val="subscript"/>
        <sz val="10"/>
        <rFont val="Arial"/>
        <family val="2"/>
      </rPr>
      <t>prop</t>
    </r>
  </si>
  <si>
    <t>Basic Velocity Pressue</t>
  </si>
  <si>
    <r>
      <t>q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 0.613 x V</t>
    </r>
    <r>
      <rPr>
        <vertAlign val="subscript"/>
        <sz val="10"/>
        <rFont val="Arial"/>
        <family val="2"/>
      </rPr>
      <t>b</t>
    </r>
    <r>
      <rPr>
        <vertAlign val="superscript"/>
        <sz val="10"/>
        <rFont val="Arial"/>
        <family val="2"/>
      </rPr>
      <t>2</t>
    </r>
  </si>
  <si>
    <t>Peak Velocity Pressure</t>
  </si>
  <si>
    <r>
      <t>Orography factor C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(Z)</t>
    </r>
  </si>
  <si>
    <r>
      <t>Correction Factor c</t>
    </r>
    <r>
      <rPr>
        <vertAlign val="subscript"/>
        <sz val="10"/>
        <rFont val="Arial"/>
        <family val="2"/>
      </rPr>
      <t>r,T</t>
    </r>
  </si>
  <si>
    <r>
      <t>q</t>
    </r>
    <r>
      <rPr>
        <vertAlign val="subscript"/>
        <sz val="10"/>
        <rFont val="Arial"/>
        <family val="2"/>
      </rPr>
      <t>p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</si>
  <si>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is the size effect factor</t>
    </r>
  </si>
  <si>
    <r>
      <t>p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= q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>x C</t>
    </r>
    <r>
      <rPr>
        <vertAlign val="subscript"/>
        <sz val="10"/>
        <rFont val="Arial"/>
        <family val="2"/>
      </rPr>
      <t>pe</t>
    </r>
    <r>
      <rPr>
        <sz val="10"/>
        <rFont val="Arial"/>
        <family val="2"/>
      </rPr>
      <t xml:space="preserve"> x C</t>
    </r>
    <r>
      <rPr>
        <vertAlign val="subscript"/>
        <sz val="10"/>
        <rFont val="Arial"/>
        <family val="2"/>
      </rPr>
      <t>s</t>
    </r>
  </si>
  <si>
    <r>
      <t>p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 xml:space="preserve"> = q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x C</t>
    </r>
    <r>
      <rPr>
        <vertAlign val="subscript"/>
        <sz val="10"/>
        <rFont val="Arial"/>
        <family val="2"/>
      </rPr>
      <t>pi</t>
    </r>
    <r>
      <rPr>
        <sz val="10"/>
        <rFont val="Arial"/>
        <family val="2"/>
      </rPr>
      <t xml:space="preserve"> x C</t>
    </r>
    <r>
      <rPr>
        <vertAlign val="subscript"/>
        <sz val="10"/>
        <rFont val="Arial"/>
        <family val="2"/>
      </rPr>
      <t>s</t>
    </r>
  </si>
  <si>
    <r>
      <t>kN/m</t>
    </r>
    <r>
      <rPr>
        <b/>
        <vertAlign val="superscript"/>
        <sz val="10"/>
        <rFont val="Arial"/>
        <family val="2"/>
      </rPr>
      <t>2</t>
    </r>
  </si>
  <si>
    <t>Distance to sea</t>
  </si>
  <si>
    <t>Distance in Town</t>
  </si>
  <si>
    <t>km</t>
  </si>
  <si>
    <t>Zone G</t>
  </si>
  <si>
    <t>Zone H</t>
  </si>
  <si>
    <t>Zone G2</t>
  </si>
  <si>
    <t>Zone F1</t>
  </si>
  <si>
    <t>Zone G1</t>
  </si>
  <si>
    <t xml:space="preserve">Distance to Sea  </t>
  </si>
  <si>
    <t xml:space="preserve">Distance in Town  </t>
  </si>
  <si>
    <t>Zone J</t>
  </si>
  <si>
    <t xml:space="preserve">Effective Height  </t>
  </si>
  <si>
    <r>
      <t>Exposure Factor C</t>
    </r>
    <r>
      <rPr>
        <b/>
        <vertAlign val="subscript"/>
        <sz val="10"/>
        <rFont val="Arial"/>
        <family val="2"/>
      </rPr>
      <t>e</t>
    </r>
    <r>
      <rPr>
        <b/>
        <sz val="10"/>
        <rFont val="Arial"/>
        <family val="2"/>
      </rPr>
      <t>(Z)</t>
    </r>
  </si>
  <si>
    <r>
      <t>Exposure Factor C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(Z)</t>
    </r>
  </si>
  <si>
    <t>Fixing Requirements</t>
  </si>
  <si>
    <t xml:space="preserve">Design load per fixing </t>
  </si>
  <si>
    <t>kN</t>
  </si>
  <si>
    <t>Deck Type</t>
  </si>
  <si>
    <t>Concrete</t>
  </si>
  <si>
    <t>07813 567265</t>
  </si>
  <si>
    <t xml:space="preserve">The Calculations have been carried out in accordance with the requirements of NA to BS EN </t>
  </si>
  <si>
    <t>1991-1-4:2005 the UK National Annex to Eurocode - Actions on Structures Part 1-4:</t>
  </si>
  <si>
    <t>2400mm x 1200mm</t>
  </si>
  <si>
    <t>1200mm x 1000mm</t>
  </si>
  <si>
    <t>1000mm x 1000mm</t>
  </si>
  <si>
    <t>1200mm x 600mm</t>
  </si>
  <si>
    <t>FoS</t>
  </si>
  <si>
    <t>API Licence</t>
  </si>
  <si>
    <t>Post Code or Grid Reference</t>
  </si>
  <si>
    <t>© D M Roy 2022</t>
  </si>
  <si>
    <t>Ver 3</t>
  </si>
  <si>
    <t>02CCE87B-72B4-4EFD-99EA-1C4DE674DAF8</t>
  </si>
  <si>
    <t>Intermediate rows number</t>
  </si>
  <si>
    <t>Lap fixings per linear metre</t>
  </si>
  <si>
    <t>Maximum allowed</t>
  </si>
  <si>
    <t>OK to bond</t>
  </si>
  <si>
    <t>Lap fixing spacing (mm)</t>
  </si>
  <si>
    <t>2120mm wide membrane</t>
  </si>
  <si>
    <t>1060mm wide membrane</t>
  </si>
  <si>
    <t>Fixing rows spacing</t>
  </si>
  <si>
    <t>Fixings per board</t>
  </si>
  <si>
    <r>
      <t>V</t>
    </r>
    <r>
      <rPr>
        <vertAlign val="subscript"/>
        <sz val="10"/>
        <rFont val="Calibri"/>
        <family val="2"/>
        <scheme val="minor"/>
      </rPr>
      <t>b</t>
    </r>
    <r>
      <rPr>
        <sz val="10"/>
        <rFont val="Calibri"/>
        <family val="2"/>
        <scheme val="minor"/>
      </rPr>
      <t>= V</t>
    </r>
    <r>
      <rPr>
        <vertAlign val="subscript"/>
        <sz val="10"/>
        <rFont val="Calibri"/>
        <family val="2"/>
        <scheme val="minor"/>
      </rPr>
      <t>bmap</t>
    </r>
    <r>
      <rPr>
        <sz val="10"/>
        <rFont val="Calibri"/>
        <family val="2"/>
        <scheme val="minor"/>
      </rPr>
      <t xml:space="preserve"> x C</t>
    </r>
    <r>
      <rPr>
        <vertAlign val="subscript"/>
        <sz val="10"/>
        <rFont val="Calibri"/>
        <family val="2"/>
        <scheme val="minor"/>
      </rPr>
      <t>alt</t>
    </r>
    <r>
      <rPr>
        <sz val="10"/>
        <rFont val="Calibri"/>
        <family val="2"/>
        <scheme val="minor"/>
      </rPr>
      <t xml:space="preserve"> x C</t>
    </r>
    <r>
      <rPr>
        <vertAlign val="subscript"/>
        <sz val="10"/>
        <rFont val="Calibri"/>
        <family val="2"/>
        <scheme val="minor"/>
      </rPr>
      <t xml:space="preserve">dir </t>
    </r>
    <r>
      <rPr>
        <sz val="10"/>
        <rFont val="Calibri"/>
        <family val="2"/>
        <scheme val="minor"/>
      </rPr>
      <t>x C</t>
    </r>
    <r>
      <rPr>
        <vertAlign val="subscript"/>
        <sz val="10"/>
        <rFont val="Calibri"/>
        <family val="2"/>
        <scheme val="minor"/>
      </rPr>
      <t>season</t>
    </r>
    <r>
      <rPr>
        <sz val="10"/>
        <rFont val="Calibri"/>
        <family val="2"/>
        <scheme val="minor"/>
      </rPr>
      <t xml:space="preserve"> x C</t>
    </r>
    <r>
      <rPr>
        <vertAlign val="subscript"/>
        <sz val="10"/>
        <rFont val="Calibri"/>
        <family val="2"/>
        <scheme val="minor"/>
      </rPr>
      <t>prop</t>
    </r>
  </si>
  <si>
    <r>
      <t>Wind Speed (V</t>
    </r>
    <r>
      <rPr>
        <vertAlign val="subscript"/>
        <sz val="10"/>
        <rFont val="Calibri"/>
        <family val="2"/>
        <scheme val="minor"/>
      </rPr>
      <t>bmap</t>
    </r>
    <r>
      <rPr>
        <sz val="10"/>
        <rFont val="Calibri"/>
        <family val="2"/>
        <scheme val="minor"/>
      </rPr>
      <t>)</t>
    </r>
  </si>
  <si>
    <r>
      <t>Altitude Factor (C</t>
    </r>
    <r>
      <rPr>
        <vertAlign val="subscript"/>
        <sz val="10"/>
        <rFont val="Calibri"/>
        <family val="2"/>
        <scheme val="minor"/>
      </rPr>
      <t>alt</t>
    </r>
    <r>
      <rPr>
        <sz val="10"/>
        <rFont val="Calibri"/>
        <family val="2"/>
        <scheme val="minor"/>
      </rPr>
      <t>)</t>
    </r>
  </si>
  <si>
    <r>
      <t>Direction Factor (C</t>
    </r>
    <r>
      <rPr>
        <vertAlign val="subscript"/>
        <sz val="10"/>
        <rFont val="Calibri"/>
        <family val="2"/>
        <scheme val="minor"/>
      </rPr>
      <t>dir</t>
    </r>
    <r>
      <rPr>
        <sz val="10"/>
        <rFont val="Calibri"/>
        <family val="2"/>
        <scheme val="minor"/>
      </rPr>
      <t>)</t>
    </r>
  </si>
  <si>
    <r>
      <t>Seasonal Factor (C</t>
    </r>
    <r>
      <rPr>
        <vertAlign val="subscript"/>
        <sz val="10"/>
        <rFont val="Calibri"/>
        <family val="2"/>
        <scheme val="minor"/>
      </rPr>
      <t>season</t>
    </r>
    <r>
      <rPr>
        <sz val="10"/>
        <rFont val="Calibri"/>
        <family val="2"/>
        <scheme val="minor"/>
      </rPr>
      <t>)</t>
    </r>
  </si>
  <si>
    <r>
      <t>Probability Factor (C</t>
    </r>
    <r>
      <rPr>
        <vertAlign val="subscript"/>
        <sz val="10"/>
        <rFont val="Calibri"/>
        <family val="2"/>
        <scheme val="minor"/>
      </rPr>
      <t>prop</t>
    </r>
    <r>
      <rPr>
        <sz val="10"/>
        <rFont val="Calibri"/>
        <family val="2"/>
        <scheme val="minor"/>
      </rPr>
      <t>)</t>
    </r>
  </si>
  <si>
    <r>
      <t>q</t>
    </r>
    <r>
      <rPr>
        <vertAlign val="subscript"/>
        <sz val="10"/>
        <rFont val="Calibri"/>
        <family val="2"/>
        <scheme val="minor"/>
      </rPr>
      <t>b</t>
    </r>
    <r>
      <rPr>
        <sz val="10"/>
        <rFont val="Calibri"/>
        <family val="2"/>
        <scheme val="minor"/>
      </rPr>
      <t xml:space="preserve"> = 0.613 x V</t>
    </r>
    <r>
      <rPr>
        <vertAlign val="subscript"/>
        <sz val="10"/>
        <rFont val="Calibri"/>
        <family val="2"/>
        <scheme val="minor"/>
      </rPr>
      <t>b</t>
    </r>
    <r>
      <rPr>
        <vertAlign val="superscript"/>
        <sz val="10"/>
        <rFont val="Calibri"/>
        <family val="2"/>
        <scheme val="minor"/>
      </rPr>
      <t>2</t>
    </r>
  </si>
  <si>
    <r>
      <t>kN/m</t>
    </r>
    <r>
      <rPr>
        <vertAlign val="superscript"/>
        <sz val="10"/>
        <rFont val="Calibri"/>
        <family val="2"/>
        <scheme val="minor"/>
      </rPr>
      <t>2</t>
    </r>
  </si>
  <si>
    <r>
      <t>Orography Factor C</t>
    </r>
    <r>
      <rPr>
        <vertAlign val="subscript"/>
        <sz val="10"/>
        <rFont val="Calibri"/>
        <family val="2"/>
        <scheme val="minor"/>
      </rPr>
      <t>o</t>
    </r>
    <r>
      <rPr>
        <sz val="10"/>
        <rFont val="Calibri"/>
        <family val="2"/>
        <scheme val="minor"/>
      </rPr>
      <t>(Z)</t>
    </r>
  </si>
  <si>
    <r>
      <t>Exposure Factor C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>(Z)</t>
    </r>
  </si>
  <si>
    <r>
      <t>Correction Factor c</t>
    </r>
    <r>
      <rPr>
        <vertAlign val="subscript"/>
        <sz val="10"/>
        <rFont val="Calibri"/>
        <family val="2"/>
        <scheme val="minor"/>
      </rPr>
      <t>r,T</t>
    </r>
  </si>
  <si>
    <r>
      <t>q</t>
    </r>
    <r>
      <rPr>
        <vertAlign val="subscript"/>
        <sz val="10"/>
        <rFont val="Calibri"/>
        <family val="2"/>
        <scheme val="minor"/>
      </rPr>
      <t>p</t>
    </r>
  </si>
  <si>
    <r>
      <t>p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 xml:space="preserve"> = q</t>
    </r>
    <r>
      <rPr>
        <vertAlign val="subscript"/>
        <sz val="10"/>
        <rFont val="Calibri"/>
        <family val="2"/>
        <scheme val="minor"/>
      </rPr>
      <t>p</t>
    </r>
    <r>
      <rPr>
        <sz val="10"/>
        <rFont val="Calibri"/>
        <family val="2"/>
        <scheme val="minor"/>
      </rPr>
      <t>x C</t>
    </r>
    <r>
      <rPr>
        <vertAlign val="subscript"/>
        <sz val="10"/>
        <rFont val="Calibri"/>
        <family val="2"/>
        <scheme val="minor"/>
      </rPr>
      <t>pe</t>
    </r>
    <r>
      <rPr>
        <sz val="10"/>
        <rFont val="Calibri"/>
        <family val="2"/>
        <scheme val="minor"/>
      </rPr>
      <t xml:space="preserve"> x C</t>
    </r>
    <r>
      <rPr>
        <vertAlign val="subscript"/>
        <sz val="10"/>
        <rFont val="Calibri"/>
        <family val="2"/>
        <scheme val="minor"/>
      </rPr>
      <t>s</t>
    </r>
  </si>
  <si>
    <r>
      <t>C</t>
    </r>
    <r>
      <rPr>
        <vertAlign val="subscript"/>
        <sz val="10"/>
        <rFont val="Calibri"/>
        <family val="2"/>
        <scheme val="minor"/>
      </rPr>
      <t>pe</t>
    </r>
    <r>
      <rPr>
        <sz val="10"/>
        <rFont val="Calibri"/>
        <family val="2"/>
        <scheme val="minor"/>
      </rPr>
      <t xml:space="preserve">  is the external pressure coefficient</t>
    </r>
  </si>
  <si>
    <r>
      <t>p</t>
    </r>
    <r>
      <rPr>
        <vertAlign val="subscript"/>
        <sz val="10"/>
        <rFont val="Calibri"/>
        <family val="2"/>
        <scheme val="minor"/>
      </rPr>
      <t>i</t>
    </r>
    <r>
      <rPr>
        <sz val="10"/>
        <rFont val="Calibri"/>
        <family val="2"/>
        <scheme val="minor"/>
      </rPr>
      <t xml:space="preserve"> = q</t>
    </r>
    <r>
      <rPr>
        <vertAlign val="subscript"/>
        <sz val="10"/>
        <rFont val="Calibri"/>
        <family val="2"/>
        <scheme val="minor"/>
      </rPr>
      <t>p</t>
    </r>
    <r>
      <rPr>
        <sz val="10"/>
        <rFont val="Calibri"/>
        <family val="2"/>
        <scheme val="minor"/>
      </rPr>
      <t xml:space="preserve"> x C</t>
    </r>
    <r>
      <rPr>
        <vertAlign val="subscript"/>
        <sz val="10"/>
        <rFont val="Calibri"/>
        <family val="2"/>
        <scheme val="minor"/>
      </rPr>
      <t>pi</t>
    </r>
    <r>
      <rPr>
        <sz val="10"/>
        <rFont val="Calibri"/>
        <family val="2"/>
        <scheme val="minor"/>
      </rPr>
      <t xml:space="preserve"> x C</t>
    </r>
    <r>
      <rPr>
        <vertAlign val="subscript"/>
        <sz val="10"/>
        <rFont val="Calibri"/>
        <family val="2"/>
        <scheme val="minor"/>
      </rPr>
      <t>s</t>
    </r>
  </si>
  <si>
    <r>
      <t>C</t>
    </r>
    <r>
      <rPr>
        <vertAlign val="subscript"/>
        <sz val="10"/>
        <rFont val="Calibri"/>
        <family val="2"/>
        <scheme val="minor"/>
      </rPr>
      <t>pi</t>
    </r>
    <r>
      <rPr>
        <sz val="10"/>
        <rFont val="Calibri"/>
        <family val="2"/>
        <scheme val="minor"/>
      </rPr>
      <t xml:space="preserve">  is the internal pressure coefficient</t>
    </r>
  </si>
  <si>
    <r>
      <t>Total Pressure kN/m</t>
    </r>
    <r>
      <rPr>
        <vertAlign val="superscript"/>
        <sz val="10"/>
        <rFont val="Calibri"/>
        <family val="2"/>
        <scheme val="minor"/>
      </rPr>
      <t>2</t>
    </r>
  </si>
  <si>
    <r>
      <t>p = p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 xml:space="preserve"> - p</t>
    </r>
    <r>
      <rPr>
        <vertAlign val="subscript"/>
        <sz val="10"/>
        <rFont val="Calibri"/>
        <family val="2"/>
        <scheme val="minor"/>
      </rPr>
      <t>i</t>
    </r>
  </si>
  <si>
    <t>Project Details</t>
  </si>
  <si>
    <t>Postcode</t>
  </si>
  <si>
    <t>Height (m)</t>
  </si>
  <si>
    <t>Width (m)</t>
  </si>
  <si>
    <t>Length (m)</t>
  </si>
  <si>
    <t>Flat (1:80 min)</t>
  </si>
  <si>
    <t>Minimum number fixings/m2</t>
  </si>
  <si>
    <t>WUC-SP-00</t>
  </si>
  <si>
    <t>Ballast weight required kg/m2</t>
  </si>
  <si>
    <t>Additional MF required</t>
  </si>
  <si>
    <t>mm</t>
  </si>
  <si>
    <t>Mechanically fixed insulation and membrane basic requirment</t>
  </si>
  <si>
    <r>
      <t>Minimum number of fixings per m</t>
    </r>
    <r>
      <rPr>
        <vertAlign val="superscript"/>
        <sz val="10"/>
        <rFont val="Calibri"/>
        <family val="2"/>
        <scheme val="minor"/>
      </rPr>
      <t>2</t>
    </r>
  </si>
  <si>
    <t>Deck</t>
  </si>
  <si>
    <t>Bonding_a</t>
  </si>
  <si>
    <t>D32S</t>
  </si>
  <si>
    <t>D35</t>
  </si>
  <si>
    <t>D46</t>
  </si>
  <si>
    <t>D60</t>
  </si>
  <si>
    <t>D100</t>
  </si>
  <si>
    <t>D137/135</t>
  </si>
  <si>
    <t>D159</t>
  </si>
  <si>
    <t>D153</t>
  </si>
  <si>
    <t>D200</t>
  </si>
  <si>
    <t>Pitch mm</t>
  </si>
  <si>
    <t>Max uplift kN</t>
  </si>
  <si>
    <t>Contact Area_%</t>
  </si>
  <si>
    <t>Deck Pitch</t>
  </si>
  <si>
    <t>Pitch over</t>
  </si>
  <si>
    <t>Deck bond</t>
  </si>
  <si>
    <t>Bond over</t>
  </si>
  <si>
    <t>Corner m2</t>
  </si>
  <si>
    <t>Perimeter m2</t>
  </si>
  <si>
    <t>Central m2</t>
  </si>
  <si>
    <t>2m corner</t>
  </si>
  <si>
    <t>2m perimeter</t>
  </si>
  <si>
    <t>2m central</t>
  </si>
  <si>
    <t>1m corner</t>
  </si>
  <si>
    <t>1m perimeter</t>
  </si>
  <si>
    <t>1m central</t>
  </si>
  <si>
    <t>linear</t>
  </si>
  <si>
    <t>OK</t>
  </si>
  <si>
    <t>inter 1</t>
  </si>
  <si>
    <t>inter 2</t>
  </si>
  <si>
    <t>inter 3</t>
  </si>
  <si>
    <t>inter 4</t>
  </si>
  <si>
    <t>inter sum</t>
  </si>
  <si>
    <t>inter spacing</t>
  </si>
  <si>
    <t>Profiled check</t>
  </si>
  <si>
    <t>2m corner P</t>
  </si>
  <si>
    <t>2m perimeter P</t>
  </si>
  <si>
    <t>2m central P</t>
  </si>
  <si>
    <t>1m corner P</t>
  </si>
  <si>
    <t>1m perimeter P</t>
  </si>
  <si>
    <t>1m central P</t>
  </si>
  <si>
    <t>fixable</t>
  </si>
  <si>
    <t>deck</t>
  </si>
  <si>
    <t>inter bef round</t>
  </si>
  <si>
    <t>upround</t>
  </si>
  <si>
    <t>interm</t>
  </si>
  <si>
    <t>Int spac</t>
  </si>
  <si>
    <t>adj spacing</t>
  </si>
  <si>
    <t>adj numb</t>
  </si>
  <si>
    <t>to use</t>
  </si>
  <si>
    <t>Corner</t>
  </si>
  <si>
    <t>Permiter</t>
  </si>
  <si>
    <t>Central</t>
  </si>
  <si>
    <t>values to use</t>
  </si>
  <si>
    <t>spacing</t>
  </si>
  <si>
    <t>fix/lm</t>
  </si>
  <si>
    <t>int spacing</t>
  </si>
  <si>
    <t>Parapet co</t>
  </si>
  <si>
    <t>Perimeter</t>
  </si>
  <si>
    <t>Parapet</t>
  </si>
  <si>
    <t>ratio</t>
  </si>
  <si>
    <t>N</t>
  </si>
  <si>
    <t>sum for vlookup</t>
  </si>
  <si>
    <t>vals tu use in coef</t>
  </si>
  <si>
    <t>Check NO</t>
  </si>
  <si>
    <t>Bond check</t>
  </si>
  <si>
    <t>Project SF Reference</t>
  </si>
  <si>
    <t>Project Name</t>
  </si>
  <si>
    <t>Customer</t>
  </si>
  <si>
    <t>Other deck pitch</t>
  </si>
  <si>
    <t>Other deck bonding area</t>
  </si>
  <si>
    <t>Roof pitch (deg) only over 5</t>
  </si>
  <si>
    <t>ID</t>
  </si>
  <si>
    <t>Timber</t>
  </si>
  <si>
    <t>Opening</t>
  </si>
  <si>
    <t>Manual Metal</t>
  </si>
  <si>
    <t>Design Load</t>
  </si>
  <si>
    <t>Factor of Safety</t>
  </si>
  <si>
    <t>Air Permeable</t>
  </si>
  <si>
    <t>Air Tight</t>
  </si>
  <si>
    <t>CPI Factor</t>
  </si>
  <si>
    <t>Mechanically fixed membrane SM/P</t>
  </si>
  <si>
    <t>Mechanically fixed insulation and adhered membrane SG/PSG</t>
  </si>
  <si>
    <t>Ballasted system SM/P/SG/PSG</t>
  </si>
  <si>
    <r>
      <t>Orography factor C</t>
    </r>
    <r>
      <rPr>
        <vertAlign val="subscript"/>
        <sz val="10"/>
        <rFont val="Calibri"/>
        <family val="2"/>
        <scheme val="minor"/>
      </rPr>
      <t>o</t>
    </r>
    <r>
      <rPr>
        <sz val="10"/>
        <rFont val="Calibri"/>
        <family val="2"/>
        <scheme val="minor"/>
      </rPr>
      <t>(Z)</t>
    </r>
  </si>
  <si>
    <r>
      <t>Minimum number fixings/m</t>
    </r>
    <r>
      <rPr>
        <vertAlign val="superscript"/>
        <sz val="10"/>
        <rFont val="Calibri"/>
        <family val="2"/>
        <scheme val="minor"/>
      </rPr>
      <t>2</t>
    </r>
  </si>
  <si>
    <r>
      <t>p = (p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 xml:space="preserve"> - p</t>
    </r>
    <r>
      <rPr>
        <vertAlign val="subscript"/>
        <sz val="10"/>
        <rFont val="Calibri"/>
        <family val="2"/>
        <scheme val="minor"/>
      </rPr>
      <t>i)*FoS</t>
    </r>
  </si>
  <si>
    <t>Pitch (deg)</t>
  </si>
  <si>
    <t>Corner F</t>
  </si>
  <si>
    <t>Perimeter G</t>
  </si>
  <si>
    <t>Central H</t>
  </si>
  <si>
    <t>Upper Corner F1</t>
  </si>
  <si>
    <t>Side Peri G2</t>
  </si>
  <si>
    <t>Mono</t>
  </si>
  <si>
    <t>Flat</t>
  </si>
  <si>
    <t>2m corner F</t>
  </si>
  <si>
    <t>2m perimeter G</t>
  </si>
  <si>
    <t>2m central H</t>
  </si>
  <si>
    <t>2m side per G2</t>
  </si>
  <si>
    <t>2m upp cor F1</t>
  </si>
  <si>
    <t>ridge Per G1</t>
  </si>
  <si>
    <t>2m ridge per G1</t>
  </si>
  <si>
    <t>1m corner F</t>
  </si>
  <si>
    <t>1m perimeter G</t>
  </si>
  <si>
    <t>1m central H</t>
  </si>
  <si>
    <t>1m side per G2</t>
  </si>
  <si>
    <t>1m upp cor F1</t>
  </si>
  <si>
    <t>1m ridge per G1</t>
  </si>
  <si>
    <t>2m corner F P</t>
  </si>
  <si>
    <t>2m perimeter G P</t>
  </si>
  <si>
    <t>2m central H P</t>
  </si>
  <si>
    <t>2m side per G2 P</t>
  </si>
  <si>
    <t>2m upp cor F1 P</t>
  </si>
  <si>
    <t>2m ridge per G1 P</t>
  </si>
  <si>
    <t>2m peri G</t>
  </si>
  <si>
    <t>1m peri G</t>
  </si>
  <si>
    <t>1m side per G2 P</t>
  </si>
  <si>
    <t>1m upp cor F1 P</t>
  </si>
  <si>
    <t>1m ridge per G1 P</t>
  </si>
  <si>
    <t>per sideG2</t>
  </si>
  <si>
    <t>upp cor F1</t>
  </si>
  <si>
    <t>ridge per G1</t>
  </si>
  <si>
    <t>Permiter G</t>
  </si>
  <si>
    <t>DUO</t>
  </si>
  <si>
    <t>Ridge J</t>
  </si>
  <si>
    <t>upper Peri G1</t>
  </si>
  <si>
    <t>2m side per G1</t>
  </si>
  <si>
    <t>1m side per G1</t>
  </si>
  <si>
    <t>2 m Ridge J</t>
  </si>
  <si>
    <t>1m Ridge J</t>
  </si>
  <si>
    <t>2m side per G1 P</t>
  </si>
  <si>
    <t>per side G1</t>
  </si>
  <si>
    <r>
      <t>p = (p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 xml:space="preserve"> - p</t>
    </r>
    <r>
      <rPr>
        <vertAlign val="subscript"/>
        <sz val="10"/>
        <rFont val="Calibri"/>
        <family val="2"/>
        <scheme val="minor"/>
      </rPr>
      <t>i)</t>
    </r>
  </si>
  <si>
    <t>BARREL</t>
  </si>
  <si>
    <t>1m side per G1 P</t>
  </si>
  <si>
    <t>1m upp ridge J</t>
  </si>
  <si>
    <t>2m upp ridge J P</t>
  </si>
  <si>
    <t>Parapet Height (m)</t>
  </si>
  <si>
    <t>FoS (default 1.35)</t>
  </si>
  <si>
    <t>Design Load (default 0.467)</t>
  </si>
  <si>
    <t>Ridge</t>
  </si>
  <si>
    <t>1Amber</t>
  </si>
  <si>
    <t>Adhered system or adhered membrane SG/PSG</t>
  </si>
  <si>
    <t>Firth SR30+</t>
  </si>
  <si>
    <t>Firth SR35+</t>
  </si>
  <si>
    <t>Firth SR60+</t>
  </si>
  <si>
    <t>Firth SR100+</t>
  </si>
  <si>
    <t>JI 37-265-1060</t>
  </si>
  <si>
    <t>JI 42-252-1010</t>
  </si>
  <si>
    <t>JI 56-225-900</t>
  </si>
  <si>
    <t>JI 73-195-780</t>
  </si>
  <si>
    <t>JI 85-280-1120</t>
  </si>
  <si>
    <t>JI 100-275-825</t>
  </si>
  <si>
    <t>JI 106-250-750</t>
  </si>
  <si>
    <t>JI 113-320-960</t>
  </si>
  <si>
    <t>JI 137-310-930</t>
  </si>
  <si>
    <t>JI 153-280-840</t>
  </si>
  <si>
    <t>JI 158-250-750</t>
  </si>
  <si>
    <t>JI 200-375-750</t>
  </si>
  <si>
    <t>Mechanically fixed insulation and membrane basic requirement</t>
  </si>
  <si>
    <t xml:space="preserve"> Warm Ballasted system SM/P/SG/PSG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</si>
</sst>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"/>
  </numFmts>
  <fonts count="34" x14ac:knownFonts="1">
    <font>
      <sz val="10"/>
      <name val="Arial"/>
    </font>
    <font>
      <sz val="11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i/>
      <sz val="10"/>
      <name val="Arial"/>
      <family val="2"/>
    </font>
    <font>
      <b/>
      <vertAlign val="subscript"/>
      <sz val="10"/>
      <name val="Arial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i/>
      <sz val="10"/>
      <name val="Arial"/>
      <family val="2"/>
    </font>
    <font>
      <b/>
      <i/>
      <sz val="10"/>
      <color indexed="10"/>
      <name val="Arial"/>
      <family val="2"/>
    </font>
    <font>
      <b/>
      <vertAlign val="superscript"/>
      <sz val="10"/>
      <name val="Arial"/>
      <family val="2"/>
    </font>
    <font>
      <b/>
      <sz val="10"/>
      <color rgb="FFFF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1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vertAlign val="superscript"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8"/>
      <name val="Arial"/>
      <family val="2"/>
    </font>
    <font>
      <sz val="8"/>
      <name val="Calibri"/>
      <family val="2"/>
      <scheme val="minor"/>
    </font>
    <font>
      <sz val="10"/>
      <color rgb="FFFF0000"/>
      <name val="Arial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58">
    <xf numFmtId="0" fontId="0" fillId="0" borderId="0" xfId="0"/>
    <xf numFmtId="0" fontId="0" fillId="0" borderId="0" xfId="0" applyProtection="1">
      <protection hidden="1"/>
    </xf>
    <xf numFmtId="0" fontId="1" fillId="0" borderId="0" xfId="0" applyFont="1" applyProtection="1">
      <protection hidden="1"/>
    </xf>
    <xf numFmtId="0" fontId="1" fillId="0" borderId="0" xfId="0" applyFont="1" applyAlignment="1" applyProtection="1">
      <alignment horizontal="right"/>
      <protection hidden="1"/>
    </xf>
    <xf numFmtId="0" fontId="3" fillId="0" borderId="0" xfId="1" applyFont="1" applyAlignment="1" applyProtection="1">
      <protection hidden="1"/>
    </xf>
    <xf numFmtId="0" fontId="5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7" fillId="0" borderId="0" xfId="0" applyFont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7" fillId="0" borderId="0" xfId="0" applyFont="1" applyAlignment="1" applyProtection="1">
      <alignment horizontal="right"/>
      <protection hidden="1"/>
    </xf>
    <xf numFmtId="0" fontId="5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right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Protection="1">
      <protection hidden="1"/>
    </xf>
    <xf numFmtId="2" fontId="9" fillId="0" borderId="0" xfId="0" applyNumberFormat="1" applyFont="1" applyAlignment="1" applyProtection="1">
      <alignment horizontal="right"/>
      <protection hidden="1"/>
    </xf>
    <xf numFmtId="2" fontId="9" fillId="0" borderId="0" xfId="0" applyNumberFormat="1" applyFont="1" applyAlignment="1" applyProtection="1">
      <alignment horizontal="left"/>
      <protection hidden="1"/>
    </xf>
    <xf numFmtId="2" fontId="9" fillId="0" borderId="0" xfId="0" applyNumberFormat="1" applyFont="1" applyAlignment="1" applyProtection="1">
      <alignment horizontal="center"/>
      <protection hidden="1"/>
    </xf>
    <xf numFmtId="164" fontId="9" fillId="0" borderId="0" xfId="0" applyNumberFormat="1" applyFont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0" fontId="12" fillId="0" borderId="0" xfId="0" applyFont="1" applyProtection="1">
      <protection hidden="1"/>
    </xf>
    <xf numFmtId="0" fontId="0" fillId="0" borderId="0" xfId="0" applyProtection="1">
      <protection locked="0" hidden="1"/>
    </xf>
    <xf numFmtId="0" fontId="6" fillId="0" borderId="0" xfId="0" applyFont="1" applyProtection="1">
      <protection hidden="1"/>
    </xf>
    <xf numFmtId="0" fontId="0" fillId="0" borderId="0" xfId="0" applyAlignment="1" applyProtection="1">
      <alignment horizontal="right"/>
      <protection hidden="1"/>
    </xf>
    <xf numFmtId="2" fontId="5" fillId="0" borderId="0" xfId="0" applyNumberFormat="1" applyFont="1" applyAlignment="1" applyProtection="1">
      <alignment horizontal="center"/>
      <protection hidden="1"/>
    </xf>
    <xf numFmtId="0" fontId="12" fillId="0" borderId="0" xfId="0" applyFont="1" applyProtection="1"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2" fontId="5" fillId="2" borderId="1" xfId="0" applyNumberFormat="1" applyFont="1" applyFill="1" applyBorder="1" applyAlignment="1" applyProtection="1">
      <alignment horizontal="center"/>
      <protection locked="0"/>
    </xf>
    <xf numFmtId="0" fontId="3" fillId="0" borderId="0" xfId="1" applyFont="1" applyAlignment="1" applyProtection="1">
      <alignment horizontal="left"/>
      <protection hidden="1"/>
    </xf>
    <xf numFmtId="0" fontId="13" fillId="0" borderId="0" xfId="0" applyFont="1" applyProtection="1">
      <protection hidden="1"/>
    </xf>
    <xf numFmtId="2" fontId="5" fillId="0" borderId="0" xfId="0" applyNumberFormat="1" applyFont="1" applyProtection="1">
      <protection hidden="1"/>
    </xf>
    <xf numFmtId="2" fontId="0" fillId="0" borderId="0" xfId="0" applyNumberFormat="1" applyProtection="1">
      <protection hidden="1"/>
    </xf>
    <xf numFmtId="2" fontId="9" fillId="0" borderId="0" xfId="0" applyNumberFormat="1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vertical="center"/>
      <protection hidden="1"/>
    </xf>
    <xf numFmtId="166" fontId="9" fillId="0" borderId="0" xfId="0" applyNumberFormat="1" applyFont="1" applyAlignment="1" applyProtection="1">
      <alignment horizontal="right"/>
      <protection hidden="1"/>
    </xf>
    <xf numFmtId="0" fontId="9" fillId="0" borderId="0" xfId="0" applyFont="1" applyAlignment="1" applyProtection="1">
      <alignment wrapText="1"/>
      <protection hidden="1"/>
    </xf>
    <xf numFmtId="166" fontId="5" fillId="2" borderId="1" xfId="0" applyNumberFormat="1" applyFont="1" applyFill="1" applyBorder="1" applyAlignment="1" applyProtection="1">
      <alignment horizontal="center"/>
      <protection locked="0"/>
    </xf>
    <xf numFmtId="2" fontId="9" fillId="0" borderId="0" xfId="0" applyNumberFormat="1" applyFont="1" applyProtection="1">
      <protection hidden="1"/>
    </xf>
    <xf numFmtId="0" fontId="0" fillId="0" borderId="0" xfId="0" applyAlignment="1" applyProtection="1">
      <alignment horizontal="left" wrapText="1"/>
      <protection hidden="1"/>
    </xf>
    <xf numFmtId="0" fontId="0" fillId="0" borderId="0" xfId="0" applyAlignment="1" applyProtection="1">
      <alignment horizontal="left" vertical="top"/>
      <protection hidden="1"/>
    </xf>
    <xf numFmtId="166" fontId="9" fillId="0" borderId="0" xfId="0" applyNumberFormat="1" applyFont="1" applyAlignment="1" applyProtection="1">
      <alignment horizontal="center"/>
      <protection hidden="1"/>
    </xf>
    <xf numFmtId="0" fontId="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vertical="top"/>
      <protection hidden="1"/>
    </xf>
    <xf numFmtId="0" fontId="15" fillId="0" borderId="0" xfId="0" applyFont="1" applyProtection="1">
      <protection hidden="1"/>
    </xf>
    <xf numFmtId="0" fontId="17" fillId="0" borderId="0" xfId="0" applyFont="1" applyAlignment="1" applyProtection="1">
      <alignment horizontal="left"/>
      <protection hidden="1"/>
    </xf>
    <xf numFmtId="2" fontId="18" fillId="0" borderId="0" xfId="0" applyNumberFormat="1" applyFont="1" applyAlignment="1" applyProtection="1">
      <alignment horizontal="center"/>
      <protection hidden="1"/>
    </xf>
    <xf numFmtId="0" fontId="18" fillId="0" borderId="0" xfId="0" applyFont="1" applyProtection="1">
      <protection hidden="1"/>
    </xf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19" fillId="0" borderId="0" xfId="0" applyFont="1" applyProtection="1">
      <protection locked="0"/>
    </xf>
    <xf numFmtId="0" fontId="20" fillId="0" borderId="0" xfId="0" applyFont="1" applyAlignment="1" applyProtection="1">
      <alignment horizontal="left"/>
      <protection hidden="1"/>
    </xf>
    <xf numFmtId="0" fontId="21" fillId="0" borderId="0" xfId="0" applyFont="1" applyAlignment="1" applyProtection="1">
      <alignment horizontal="right"/>
      <protection hidden="1"/>
    </xf>
    <xf numFmtId="0" fontId="21" fillId="0" borderId="0" xfId="0" applyFont="1" applyProtection="1">
      <protection hidden="1"/>
    </xf>
    <xf numFmtId="0" fontId="21" fillId="0" borderId="0" xfId="0" applyFont="1" applyAlignment="1" applyProtection="1">
      <alignment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22" fillId="0" borderId="0" xfId="0" applyFont="1" applyAlignment="1" applyProtection="1">
      <alignment horizontal="right"/>
      <protection hidden="1"/>
    </xf>
    <xf numFmtId="0" fontId="22" fillId="0" borderId="0" xfId="0" applyFont="1" applyAlignment="1" applyProtection="1">
      <alignment horizontal="center"/>
      <protection hidden="1"/>
    </xf>
    <xf numFmtId="166" fontId="21" fillId="0" borderId="0" xfId="0" applyNumberFormat="1" applyFont="1" applyAlignment="1" applyProtection="1">
      <alignment horizontal="right"/>
      <protection hidden="1"/>
    </xf>
    <xf numFmtId="2" fontId="21" fillId="0" borderId="0" xfId="0" applyNumberFormat="1" applyFont="1" applyAlignment="1" applyProtection="1">
      <alignment horizontal="left"/>
      <protection hidden="1"/>
    </xf>
    <xf numFmtId="2" fontId="21" fillId="0" borderId="0" xfId="0" applyNumberFormat="1" applyFont="1" applyAlignment="1" applyProtection="1">
      <alignment horizontal="center"/>
      <protection hidden="1"/>
    </xf>
    <xf numFmtId="2" fontId="21" fillId="0" borderId="0" xfId="0" applyNumberFormat="1" applyFont="1" applyAlignment="1" applyProtection="1">
      <alignment horizontal="right"/>
      <protection hidden="1"/>
    </xf>
    <xf numFmtId="0" fontId="21" fillId="0" borderId="0" xfId="0" applyFont="1" applyAlignment="1" applyProtection="1">
      <alignment vertical="center"/>
      <protection hidden="1"/>
    </xf>
    <xf numFmtId="2" fontId="21" fillId="0" borderId="0" xfId="0" applyNumberFormat="1" applyFont="1" applyProtection="1">
      <protection hidden="1"/>
    </xf>
    <xf numFmtId="2" fontId="21" fillId="0" borderId="0" xfId="0" applyNumberFormat="1" applyFont="1" applyAlignment="1" applyProtection="1">
      <alignment horizontal="right" vertical="center"/>
      <protection hidden="1"/>
    </xf>
    <xf numFmtId="0" fontId="24" fillId="0" borderId="0" xfId="0" applyFont="1" applyProtection="1">
      <protection hidden="1"/>
    </xf>
    <xf numFmtId="0" fontId="21" fillId="0" borderId="0" xfId="0" applyFont="1" applyAlignment="1" applyProtection="1">
      <alignment horizontal="center"/>
      <protection hidden="1"/>
    </xf>
    <xf numFmtId="0" fontId="20" fillId="0" borderId="0" xfId="0" applyFont="1" applyAlignment="1" applyProtection="1">
      <alignment vertical="top" wrapText="1"/>
      <protection hidden="1"/>
    </xf>
    <xf numFmtId="0" fontId="21" fillId="0" borderId="0" xfId="0" applyFont="1" applyAlignment="1" applyProtection="1">
      <alignment vertical="top" wrapText="1"/>
      <protection hidden="1"/>
    </xf>
    <xf numFmtId="0" fontId="21" fillId="0" borderId="0" xfId="0" applyFont="1"/>
    <xf numFmtId="1" fontId="21" fillId="0" borderId="0" xfId="0" applyNumberFormat="1" applyFont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21" fillId="3" borderId="16" xfId="0" applyFont="1" applyFill="1" applyBorder="1" applyAlignment="1" applyProtection="1">
      <alignment horizontal="left"/>
      <protection hidden="1"/>
    </xf>
    <xf numFmtId="0" fontId="21" fillId="4" borderId="16" xfId="0" applyFont="1" applyFill="1" applyBorder="1" applyAlignment="1" applyProtection="1">
      <alignment horizontal="left"/>
      <protection hidden="1"/>
    </xf>
    <xf numFmtId="0" fontId="21" fillId="5" borderId="8" xfId="0" applyFont="1" applyFill="1" applyBorder="1" applyAlignment="1" applyProtection="1">
      <alignment horizontal="left"/>
      <protection hidden="1"/>
    </xf>
    <xf numFmtId="0" fontId="21" fillId="5" borderId="9" xfId="0" applyFont="1" applyFill="1" applyBorder="1" applyAlignment="1" applyProtection="1">
      <alignment horizontal="left"/>
      <protection hidden="1"/>
    </xf>
    <xf numFmtId="0" fontId="21" fillId="5" borderId="9" xfId="0" applyFont="1" applyFill="1" applyBorder="1" applyAlignment="1" applyProtection="1">
      <alignment horizontal="center"/>
      <protection hidden="1"/>
    </xf>
    <xf numFmtId="0" fontId="21" fillId="5" borderId="13" xfId="0" applyFont="1" applyFill="1" applyBorder="1" applyAlignment="1" applyProtection="1">
      <alignment horizontal="left"/>
      <protection hidden="1"/>
    </xf>
    <xf numFmtId="0" fontId="21" fillId="5" borderId="14" xfId="0" applyFont="1" applyFill="1" applyBorder="1" applyAlignment="1" applyProtection="1">
      <alignment horizontal="left"/>
      <protection hidden="1"/>
    </xf>
    <xf numFmtId="1" fontId="21" fillId="5" borderId="14" xfId="0" applyNumberFormat="1" applyFont="1" applyFill="1" applyBorder="1" applyAlignment="1" applyProtection="1">
      <alignment horizontal="center"/>
      <protection hidden="1"/>
    </xf>
    <xf numFmtId="0" fontId="21" fillId="5" borderId="11" xfId="0" applyFont="1" applyFill="1" applyBorder="1" applyAlignment="1" applyProtection="1">
      <alignment horizontal="left"/>
      <protection hidden="1"/>
    </xf>
    <xf numFmtId="0" fontId="21" fillId="5" borderId="0" xfId="0" applyFont="1" applyFill="1" applyAlignment="1" applyProtection="1">
      <alignment horizontal="center"/>
      <protection hidden="1"/>
    </xf>
    <xf numFmtId="1" fontId="21" fillId="5" borderId="0" xfId="0" applyNumberFormat="1" applyFont="1" applyFill="1" applyAlignment="1" applyProtection="1">
      <alignment horizontal="center"/>
      <protection hidden="1"/>
    </xf>
    <xf numFmtId="0" fontId="21" fillId="5" borderId="0" xfId="0" applyFont="1" applyFill="1" applyAlignment="1" applyProtection="1">
      <alignment horizontal="left"/>
      <protection hidden="1"/>
    </xf>
    <xf numFmtId="0" fontId="20" fillId="5" borderId="11" xfId="0" applyFont="1" applyFill="1" applyBorder="1" applyProtection="1">
      <protection hidden="1"/>
    </xf>
    <xf numFmtId="0" fontId="20" fillId="5" borderId="0" xfId="0" applyFont="1" applyFill="1" applyProtection="1">
      <protection hidden="1"/>
    </xf>
    <xf numFmtId="1" fontId="20" fillId="5" borderId="0" xfId="0" applyNumberFormat="1" applyFont="1" applyFill="1" applyAlignment="1" applyProtection="1">
      <alignment horizontal="center"/>
      <protection hidden="1"/>
    </xf>
    <xf numFmtId="2" fontId="20" fillId="5" borderId="0" xfId="0" applyNumberFormat="1" applyFont="1" applyFill="1" applyAlignment="1" applyProtection="1">
      <alignment horizontal="center"/>
      <protection hidden="1"/>
    </xf>
    <xf numFmtId="0" fontId="21" fillId="0" borderId="0" xfId="0" applyFont="1" applyAlignment="1">
      <alignment horizontal="right" vertical="top" wrapText="1"/>
    </xf>
    <xf numFmtId="2" fontId="21" fillId="0" borderId="0" xfId="0" applyNumberFormat="1" applyFont="1" applyAlignment="1">
      <alignment vertical="top" wrapText="1"/>
    </xf>
    <xf numFmtId="0" fontId="9" fillId="0" borderId="0" xfId="0" applyFont="1"/>
    <xf numFmtId="1" fontId="21" fillId="5" borderId="9" xfId="0" applyNumberFormat="1" applyFont="1" applyFill="1" applyBorder="1" applyAlignment="1" applyProtection="1">
      <alignment horizontal="center"/>
      <protection hidden="1"/>
    </xf>
    <xf numFmtId="0" fontId="21" fillId="0" borderId="9" xfId="0" applyFont="1" applyBorder="1" applyAlignment="1" applyProtection="1">
      <alignment horizontal="left"/>
      <protection hidden="1"/>
    </xf>
    <xf numFmtId="1" fontId="21" fillId="0" borderId="9" xfId="0" applyNumberFormat="1" applyFont="1" applyBorder="1" applyAlignment="1" applyProtection="1">
      <alignment horizontal="center"/>
      <protection hidden="1"/>
    </xf>
    <xf numFmtId="0" fontId="21" fillId="0" borderId="9" xfId="0" applyFont="1" applyBorder="1" applyAlignment="1" applyProtection="1">
      <alignment horizontal="center"/>
      <protection hidden="1"/>
    </xf>
    <xf numFmtId="0" fontId="21" fillId="5" borderId="10" xfId="0" applyFont="1" applyFill="1" applyBorder="1" applyAlignment="1" applyProtection="1">
      <alignment horizontal="center"/>
      <protection hidden="1"/>
    </xf>
    <xf numFmtId="1" fontId="21" fillId="5" borderId="15" xfId="0" applyNumberFormat="1" applyFont="1" applyFill="1" applyBorder="1" applyAlignment="1" applyProtection="1">
      <alignment horizontal="center"/>
      <protection hidden="1"/>
    </xf>
    <xf numFmtId="0" fontId="20" fillId="0" borderId="0" xfId="0" applyFont="1" applyProtection="1">
      <protection hidden="1"/>
    </xf>
    <xf numFmtId="1" fontId="21" fillId="5" borderId="12" xfId="0" applyNumberFormat="1" applyFont="1" applyFill="1" applyBorder="1" applyAlignment="1" applyProtection="1">
      <alignment horizontal="center"/>
      <protection hidden="1"/>
    </xf>
    <xf numFmtId="1" fontId="21" fillId="5" borderId="10" xfId="0" applyNumberFormat="1" applyFont="1" applyFill="1" applyBorder="1" applyAlignment="1" applyProtection="1">
      <alignment horizontal="center"/>
      <protection hidden="1"/>
    </xf>
    <xf numFmtId="1" fontId="20" fillId="5" borderId="12" xfId="0" applyNumberFormat="1" applyFont="1" applyFill="1" applyBorder="1" applyAlignment="1" applyProtection="1">
      <alignment horizontal="center"/>
      <protection hidden="1"/>
    </xf>
    <xf numFmtId="0" fontId="21" fillId="5" borderId="12" xfId="0" applyFont="1" applyFill="1" applyBorder="1" applyAlignment="1" applyProtection="1">
      <alignment horizontal="center"/>
      <protection hidden="1"/>
    </xf>
    <xf numFmtId="2" fontId="20" fillId="5" borderId="12" xfId="0" applyNumberFormat="1" applyFont="1" applyFill="1" applyBorder="1" applyAlignment="1" applyProtection="1">
      <alignment horizontal="center"/>
      <protection hidden="1"/>
    </xf>
    <xf numFmtId="0" fontId="21" fillId="0" borderId="0" xfId="0" applyFont="1" applyAlignment="1">
      <alignment vertical="top" wrapText="1"/>
    </xf>
    <xf numFmtId="0" fontId="21" fillId="0" borderId="0" xfId="0" applyFont="1" applyAlignment="1" applyProtection="1">
      <alignment horizontal="center"/>
      <protection locked="0"/>
    </xf>
    <xf numFmtId="166" fontId="21" fillId="0" borderId="0" xfId="0" applyNumberFormat="1" applyFont="1" applyAlignment="1" applyProtection="1">
      <alignment horizontal="center"/>
      <protection hidden="1"/>
    </xf>
    <xf numFmtId="0" fontId="0" fillId="0" borderId="17" xfId="0" applyBorder="1"/>
    <xf numFmtId="0" fontId="0" fillId="0" borderId="18" xfId="0" applyBorder="1"/>
    <xf numFmtId="0" fontId="0" fillId="0" borderId="4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26" fillId="0" borderId="15" xfId="0" applyFont="1" applyBorder="1"/>
    <xf numFmtId="0" fontId="26" fillId="0" borderId="13" xfId="0" applyFont="1" applyBorder="1"/>
    <xf numFmtId="0" fontId="9" fillId="0" borderId="17" xfId="0" applyFont="1" applyBorder="1"/>
    <xf numFmtId="2" fontId="0" fillId="0" borderId="0" xfId="0" applyNumberFormat="1"/>
    <xf numFmtId="2" fontId="21" fillId="5" borderId="0" xfId="0" applyNumberFormat="1" applyFont="1" applyFill="1" applyAlignment="1" applyProtection="1">
      <alignment horizontal="center"/>
      <protection hidden="1"/>
    </xf>
    <xf numFmtId="2" fontId="21" fillId="5" borderId="12" xfId="0" applyNumberFormat="1" applyFont="1" applyFill="1" applyBorder="1" applyAlignment="1" applyProtection="1">
      <alignment horizontal="center"/>
      <protection hidden="1"/>
    </xf>
    <xf numFmtId="2" fontId="21" fillId="5" borderId="14" xfId="0" applyNumberFormat="1" applyFont="1" applyFill="1" applyBorder="1" applyAlignment="1" applyProtection="1">
      <alignment horizontal="center"/>
      <protection hidden="1"/>
    </xf>
    <xf numFmtId="2" fontId="21" fillId="5" borderId="15" xfId="0" applyNumberFormat="1" applyFont="1" applyFill="1" applyBorder="1" applyAlignment="1" applyProtection="1">
      <alignment horizontal="center"/>
      <protection hidden="1"/>
    </xf>
    <xf numFmtId="0" fontId="21" fillId="0" borderId="8" xfId="0" applyFont="1" applyBorder="1" applyProtection="1">
      <protection hidden="1"/>
    </xf>
    <xf numFmtId="0" fontId="21" fillId="0" borderId="9" xfId="0" applyFont="1" applyBorder="1" applyProtection="1">
      <protection hidden="1"/>
    </xf>
    <xf numFmtId="0" fontId="21" fillId="0" borderId="10" xfId="0" applyFont="1" applyBorder="1" applyProtection="1">
      <protection hidden="1"/>
    </xf>
    <xf numFmtId="0" fontId="21" fillId="0" borderId="13" xfId="0" applyFont="1" applyBorder="1" applyProtection="1">
      <protection hidden="1"/>
    </xf>
    <xf numFmtId="0" fontId="21" fillId="0" borderId="14" xfId="0" applyFont="1" applyBorder="1" applyProtection="1">
      <protection hidden="1"/>
    </xf>
    <xf numFmtId="0" fontId="21" fillId="0" borderId="15" xfId="0" applyFont="1" applyBorder="1" applyProtection="1">
      <protection hidden="1"/>
    </xf>
    <xf numFmtId="0" fontId="21" fillId="0" borderId="11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21" fillId="5" borderId="0" xfId="0" applyFont="1" applyFill="1" applyAlignment="1" applyProtection="1">
      <alignment horizontal="right"/>
      <protection hidden="1"/>
    </xf>
    <xf numFmtId="0" fontId="21" fillId="5" borderId="0" xfId="0" applyFont="1" applyFill="1" applyProtection="1">
      <protection hidden="1"/>
    </xf>
    <xf numFmtId="0" fontId="21" fillId="5" borderId="12" xfId="0" applyFont="1" applyFill="1" applyBorder="1" applyProtection="1">
      <protection hidden="1"/>
    </xf>
    <xf numFmtId="0" fontId="21" fillId="5" borderId="14" xfId="0" applyFont="1" applyFill="1" applyBorder="1" applyAlignment="1" applyProtection="1">
      <alignment horizontal="right"/>
      <protection hidden="1"/>
    </xf>
    <xf numFmtId="0" fontId="21" fillId="5" borderId="14" xfId="0" applyFont="1" applyFill="1" applyBorder="1" applyProtection="1">
      <protection hidden="1"/>
    </xf>
    <xf numFmtId="0" fontId="21" fillId="5" borderId="15" xfId="0" applyFont="1" applyFill="1" applyBorder="1" applyProtection="1">
      <protection hidden="1"/>
    </xf>
    <xf numFmtId="0" fontId="21" fillId="5" borderId="8" xfId="0" applyFont="1" applyFill="1" applyBorder="1" applyProtection="1">
      <protection hidden="1"/>
    </xf>
    <xf numFmtId="0" fontId="21" fillId="5" borderId="9" xfId="0" applyFont="1" applyFill="1" applyBorder="1" applyProtection="1">
      <protection hidden="1"/>
    </xf>
    <xf numFmtId="0" fontId="21" fillId="0" borderId="11" xfId="0" applyFont="1" applyBorder="1" applyAlignment="1" applyProtection="1">
      <alignment wrapText="1"/>
      <protection hidden="1"/>
    </xf>
    <xf numFmtId="0" fontId="21" fillId="0" borderId="12" xfId="0" applyFont="1" applyBorder="1" applyAlignment="1" applyProtection="1">
      <alignment wrapText="1"/>
      <protection hidden="1"/>
    </xf>
    <xf numFmtId="0" fontId="21" fillId="0" borderId="13" xfId="0" applyFont="1" applyBorder="1" applyAlignment="1" applyProtection="1">
      <alignment wrapText="1"/>
      <protection hidden="1"/>
    </xf>
    <xf numFmtId="0" fontId="21" fillId="0" borderId="14" xfId="0" applyFont="1" applyBorder="1" applyAlignment="1" applyProtection="1">
      <alignment wrapText="1"/>
      <protection hidden="1"/>
    </xf>
    <xf numFmtId="0" fontId="21" fillId="0" borderId="15" xfId="0" applyFont="1" applyBorder="1" applyAlignment="1" applyProtection="1">
      <alignment wrapText="1"/>
      <protection hidden="1"/>
    </xf>
    <xf numFmtId="0" fontId="20" fillId="0" borderId="0" xfId="0" applyFont="1" applyAlignment="1">
      <alignment horizontal="right" vertical="top" wrapText="1"/>
    </xf>
    <xf numFmtId="0" fontId="9" fillId="0" borderId="18" xfId="0" applyFont="1" applyBorder="1"/>
    <xf numFmtId="164" fontId="0" fillId="0" borderId="0" xfId="0" applyNumberFormat="1"/>
    <xf numFmtId="0" fontId="9" fillId="0" borderId="16" xfId="0" applyFont="1" applyBorder="1" applyProtection="1">
      <protection locked="0"/>
    </xf>
    <xf numFmtId="0" fontId="0" fillId="0" borderId="16" xfId="0" applyBorder="1" applyProtection="1">
      <protection locked="0"/>
    </xf>
    <xf numFmtId="0" fontId="21" fillId="0" borderId="16" xfId="0" applyFont="1" applyBorder="1" applyAlignment="1" applyProtection="1">
      <alignment vertical="top" wrapText="1"/>
      <protection locked="0"/>
    </xf>
    <xf numFmtId="0" fontId="21" fillId="0" borderId="16" xfId="0" applyFont="1" applyBorder="1" applyAlignment="1" applyProtection="1">
      <alignment horizontal="right" vertical="top" wrapText="1"/>
      <protection locked="0"/>
    </xf>
    <xf numFmtId="0" fontId="0" fillId="5" borderId="24" xfId="0" applyFill="1" applyBorder="1"/>
    <xf numFmtId="0" fontId="0" fillId="5" borderId="25" xfId="0" applyFill="1" applyBorder="1"/>
    <xf numFmtId="0" fontId="0" fillId="5" borderId="26" xfId="0" applyFill="1" applyBorder="1"/>
    <xf numFmtId="0" fontId="0" fillId="5" borderId="0" xfId="0" applyFill="1"/>
    <xf numFmtId="0" fontId="0" fillId="5" borderId="23" xfId="0" applyFill="1" applyBorder="1"/>
    <xf numFmtId="0" fontId="9" fillId="5" borderId="22" xfId="0" applyFont="1" applyFill="1" applyBorder="1"/>
    <xf numFmtId="0" fontId="0" fillId="5" borderId="22" xfId="0" applyFill="1" applyBorder="1"/>
    <xf numFmtId="0" fontId="9" fillId="5" borderId="0" xfId="0" applyFont="1" applyFill="1"/>
    <xf numFmtId="2" fontId="0" fillId="5" borderId="23" xfId="0" applyNumberFormat="1" applyFill="1" applyBorder="1"/>
    <xf numFmtId="2" fontId="0" fillId="5" borderId="16" xfId="0" applyNumberFormat="1" applyFill="1" applyBorder="1"/>
    <xf numFmtId="0" fontId="21" fillId="5" borderId="16" xfId="0" applyFont="1" applyFill="1" applyBorder="1" applyAlignment="1">
      <alignment vertical="top" wrapText="1"/>
    </xf>
    <xf numFmtId="0" fontId="18" fillId="0" borderId="0" xfId="0" applyFont="1"/>
    <xf numFmtId="0" fontId="31" fillId="0" borderId="0" xfId="0" applyFont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2" fontId="0" fillId="0" borderId="0" xfId="0" applyNumberFormat="1" applyProtection="1">
      <protection locked="0" hidden="1"/>
    </xf>
    <xf numFmtId="0" fontId="9" fillId="0" borderId="0" xfId="0" applyFont="1" applyProtection="1">
      <protection locked="0" hidden="1"/>
    </xf>
    <xf numFmtId="0" fontId="27" fillId="0" borderId="0" xfId="0" applyFont="1" applyAlignment="1" applyProtection="1">
      <alignment horizontal="left"/>
      <protection locked="0" hidden="1"/>
    </xf>
    <xf numFmtId="0" fontId="27" fillId="0" borderId="0" xfId="0" applyFont="1" applyAlignment="1" applyProtection="1">
      <alignment horizontal="right"/>
      <protection locked="0" hidden="1"/>
    </xf>
    <xf numFmtId="0" fontId="27" fillId="0" borderId="0" xfId="0" applyFont="1" applyProtection="1">
      <protection locked="0" hidden="1"/>
    </xf>
    <xf numFmtId="2" fontId="27" fillId="0" borderId="0" xfId="0" applyNumberFormat="1" applyFont="1" applyAlignment="1" applyProtection="1">
      <alignment horizontal="right"/>
      <protection locked="0" hidden="1"/>
    </xf>
    <xf numFmtId="0" fontId="20" fillId="0" borderId="0" xfId="0" applyFont="1" applyAlignment="1" applyProtection="1">
      <alignment horizontal="right"/>
      <protection locked="0" hidden="1"/>
    </xf>
    <xf numFmtId="0" fontId="20" fillId="0" borderId="0" xfId="0" applyFont="1" applyProtection="1">
      <protection locked="0" hidden="1"/>
    </xf>
    <xf numFmtId="0" fontId="0" fillId="0" borderId="0" xfId="0" applyAlignment="1" applyProtection="1">
      <alignment horizontal="center"/>
      <protection locked="0" hidden="1"/>
    </xf>
    <xf numFmtId="2" fontId="0" fillId="0" borderId="0" xfId="0" applyNumberFormat="1" applyAlignment="1" applyProtection="1">
      <alignment horizontal="center"/>
      <protection locked="0" hidden="1"/>
    </xf>
    <xf numFmtId="164" fontId="0" fillId="0" borderId="0" xfId="0" applyNumberFormat="1" applyAlignment="1" applyProtection="1">
      <alignment horizontal="center"/>
      <protection locked="0" hidden="1"/>
    </xf>
    <xf numFmtId="0" fontId="30" fillId="0" borderId="0" xfId="0" applyFont="1" applyProtection="1">
      <protection locked="0" hidden="1"/>
    </xf>
    <xf numFmtId="0" fontId="6" fillId="0" borderId="0" xfId="0" applyFont="1" applyProtection="1">
      <protection locked="0" hidden="1"/>
    </xf>
    <xf numFmtId="0" fontId="30" fillId="0" borderId="0" xfId="0" applyFont="1" applyAlignment="1" applyProtection="1">
      <alignment horizontal="center"/>
      <protection locked="0" hidden="1"/>
    </xf>
    <xf numFmtId="0" fontId="7" fillId="0" borderId="0" xfId="0" applyFont="1" applyAlignment="1" applyProtection="1">
      <alignment horizontal="center"/>
      <protection locked="0" hidden="1"/>
    </xf>
    <xf numFmtId="164" fontId="0" fillId="0" borderId="0" xfId="0" applyNumberFormat="1" applyProtection="1">
      <protection locked="0" hidden="1"/>
    </xf>
    <xf numFmtId="165" fontId="0" fillId="0" borderId="0" xfId="0" applyNumberFormat="1" applyAlignment="1" applyProtection="1">
      <alignment horizontal="center"/>
      <protection locked="0" hidden="1"/>
    </xf>
    <xf numFmtId="166" fontId="0" fillId="0" borderId="0" xfId="0" applyNumberFormat="1" applyProtection="1">
      <protection locked="0" hidden="1"/>
    </xf>
    <xf numFmtId="0" fontId="9" fillId="0" borderId="0" xfId="0" applyFont="1" applyProtection="1">
      <protection locked="0"/>
    </xf>
    <xf numFmtId="0" fontId="5" fillId="0" borderId="0" xfId="0" applyFont="1" applyProtection="1">
      <protection locked="0"/>
    </xf>
    <xf numFmtId="2" fontId="0" fillId="0" borderId="0" xfId="0" applyNumberFormat="1" applyProtection="1">
      <protection locked="0"/>
    </xf>
    <xf numFmtId="0" fontId="30" fillId="0" borderId="0" xfId="0" applyFont="1"/>
    <xf numFmtId="0" fontId="32" fillId="0" borderId="0" xfId="0" applyFont="1" applyAlignment="1" applyProtection="1">
      <alignment horizontal="left"/>
      <protection hidden="1"/>
    </xf>
    <xf numFmtId="2" fontId="33" fillId="0" borderId="0" xfId="0" applyNumberFormat="1" applyFont="1" applyAlignment="1" applyProtection="1">
      <alignment horizontal="center"/>
      <protection hidden="1"/>
    </xf>
    <xf numFmtId="0" fontId="33" fillId="0" borderId="0" xfId="0" applyFont="1" applyProtection="1">
      <protection hidden="1"/>
    </xf>
    <xf numFmtId="0" fontId="33" fillId="0" borderId="0" xfId="0" applyFont="1" applyProtection="1">
      <protection locked="0"/>
    </xf>
    <xf numFmtId="0" fontId="9" fillId="0" borderId="27" xfId="0" applyFont="1" applyBorder="1" applyProtection="1">
      <protection hidden="1"/>
    </xf>
    <xf numFmtId="0" fontId="9" fillId="0" borderId="28" xfId="0" applyFont="1" applyBorder="1" applyProtection="1">
      <protection hidden="1"/>
    </xf>
    <xf numFmtId="0" fontId="9" fillId="0" borderId="10" xfId="0" applyFont="1" applyBorder="1" applyProtection="1">
      <protection hidden="1"/>
    </xf>
    <xf numFmtId="0" fontId="9" fillId="0" borderId="12" xfId="0" applyFont="1" applyBorder="1" applyProtection="1">
      <protection hidden="1"/>
    </xf>
    <xf numFmtId="0" fontId="9" fillId="0" borderId="15" xfId="0" applyFont="1" applyBorder="1" applyProtection="1">
      <protection hidden="1"/>
    </xf>
    <xf numFmtId="0" fontId="9" fillId="0" borderId="29" xfId="0" applyFont="1" applyBorder="1" applyProtection="1">
      <protection hidden="1"/>
    </xf>
    <xf numFmtId="0" fontId="0" fillId="0" borderId="9" xfId="0" applyBorder="1" applyProtection="1">
      <protection locked="0"/>
    </xf>
    <xf numFmtId="0" fontId="9" fillId="0" borderId="9" xfId="0" applyFont="1" applyBorder="1" applyProtection="1">
      <protection locked="0"/>
    </xf>
    <xf numFmtId="0" fontId="0" fillId="0" borderId="10" xfId="0" applyBorder="1" applyProtection="1">
      <protection locked="0"/>
    </xf>
    <xf numFmtId="0" fontId="9" fillId="0" borderId="11" xfId="0" applyFon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1" xfId="0" applyBorder="1" applyProtection="1">
      <protection locked="0"/>
    </xf>
    <xf numFmtId="1" fontId="0" fillId="0" borderId="0" xfId="0" applyNumberFormat="1" applyProtection="1">
      <protection locked="0"/>
    </xf>
    <xf numFmtId="0" fontId="5" fillId="0" borderId="12" xfId="0" applyFont="1" applyBorder="1" applyProtection="1">
      <protection locked="0"/>
    </xf>
    <xf numFmtId="1" fontId="5" fillId="0" borderId="0" xfId="0" applyNumberFormat="1" applyFont="1" applyProtection="1">
      <protection locked="0"/>
    </xf>
    <xf numFmtId="2" fontId="5" fillId="0" borderId="0" xfId="0" applyNumberFormat="1" applyFont="1" applyProtection="1">
      <protection locked="0"/>
    </xf>
    <xf numFmtId="1" fontId="5" fillId="0" borderId="12" xfId="0" applyNumberFormat="1" applyFont="1" applyBorder="1" applyProtection="1">
      <protection locked="0"/>
    </xf>
    <xf numFmtId="165" fontId="0" fillId="0" borderId="0" xfId="0" applyNumberFormat="1" applyProtection="1">
      <protection locked="0"/>
    </xf>
    <xf numFmtId="0" fontId="9" fillId="0" borderId="0" xfId="0" applyFont="1" applyAlignment="1" applyProtection="1">
      <alignment horizontal="right"/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15" fillId="0" borderId="8" xfId="0" applyFont="1" applyBorder="1" applyProtection="1">
      <protection locked="0"/>
    </xf>
    <xf numFmtId="0" fontId="15" fillId="0" borderId="0" xfId="0" applyFont="1" applyProtection="1">
      <protection locked="0"/>
    </xf>
    <xf numFmtId="0" fontId="21" fillId="3" borderId="11" xfId="0" applyFont="1" applyFill="1" applyBorder="1" applyAlignment="1" applyProtection="1">
      <alignment horizontal="left"/>
      <protection hidden="1"/>
    </xf>
    <xf numFmtId="0" fontId="21" fillId="4" borderId="11" xfId="0" applyFont="1" applyFill="1" applyBorder="1" applyAlignment="1" applyProtection="1">
      <alignment horizontal="left"/>
      <protection hidden="1"/>
    </xf>
    <xf numFmtId="0" fontId="21" fillId="5" borderId="14" xfId="0" applyFont="1" applyFill="1" applyBorder="1" applyAlignment="1" applyProtection="1">
      <alignment horizontal="center"/>
      <protection hidden="1"/>
    </xf>
    <xf numFmtId="2" fontId="20" fillId="5" borderId="15" xfId="0" applyNumberFormat="1" applyFont="1" applyFill="1" applyBorder="1" applyAlignment="1" applyProtection="1">
      <alignment horizontal="center"/>
      <protection hidden="1"/>
    </xf>
    <xf numFmtId="2" fontId="25" fillId="5" borderId="0" xfId="0" applyNumberFormat="1" applyFont="1" applyFill="1" applyAlignment="1" applyProtection="1">
      <alignment horizontal="center"/>
      <protection hidden="1"/>
    </xf>
    <xf numFmtId="0" fontId="21" fillId="0" borderId="0" xfId="0" applyFont="1" applyProtection="1">
      <protection locked="0"/>
    </xf>
    <xf numFmtId="0" fontId="20" fillId="0" borderId="0" xfId="0" applyFont="1" applyAlignment="1">
      <alignment vertical="top" wrapText="1"/>
    </xf>
    <xf numFmtId="2" fontId="25" fillId="5" borderId="16" xfId="0" applyNumberFormat="1" applyFont="1" applyFill="1" applyBorder="1" applyAlignment="1" applyProtection="1">
      <alignment horizontal="center"/>
      <protection hidden="1"/>
    </xf>
    <xf numFmtId="1" fontId="9" fillId="0" borderId="16" xfId="0" applyNumberFormat="1" applyFont="1" applyBorder="1" applyProtection="1">
      <protection locked="0"/>
    </xf>
    <xf numFmtId="2" fontId="20" fillId="0" borderId="0" xfId="0" applyNumberFormat="1" applyFont="1" applyAlignment="1" applyProtection="1">
      <alignment horizontal="center"/>
      <protection hidden="1"/>
    </xf>
    <xf numFmtId="0" fontId="0" fillId="0" borderId="30" xfId="0" applyBorder="1"/>
    <xf numFmtId="0" fontId="0" fillId="0" borderId="31" xfId="0" applyBorder="1"/>
    <xf numFmtId="0" fontId="9" fillId="0" borderId="30" xfId="0" applyFont="1" applyBorder="1"/>
    <xf numFmtId="0" fontId="20" fillId="0" borderId="14" xfId="0" applyFont="1" applyBorder="1" applyAlignment="1" applyProtection="1">
      <alignment horizontal="center"/>
      <protection hidden="1"/>
    </xf>
    <xf numFmtId="0" fontId="20" fillId="0" borderId="0" xfId="0" applyFont="1" applyAlignment="1" applyProtection="1">
      <alignment horizontal="left" vertical="top" wrapText="1"/>
      <protection hidden="1"/>
    </xf>
    <xf numFmtId="0" fontId="21" fillId="0" borderId="0" xfId="0" applyFont="1" applyAlignment="1">
      <alignment vertical="top" wrapText="1"/>
    </xf>
    <xf numFmtId="0" fontId="29" fillId="5" borderId="11" xfId="0" applyFont="1" applyFill="1" applyBorder="1" applyAlignment="1" applyProtection="1">
      <alignment horizontal="center" wrapText="1"/>
      <protection hidden="1"/>
    </xf>
    <xf numFmtId="0" fontId="29" fillId="5" borderId="0" xfId="0" applyFont="1" applyFill="1" applyAlignment="1" applyProtection="1">
      <alignment horizontal="center" wrapText="1"/>
      <protection hidden="1"/>
    </xf>
    <xf numFmtId="0" fontId="29" fillId="5" borderId="12" xfId="0" applyFont="1" applyFill="1" applyBorder="1" applyAlignment="1" applyProtection="1">
      <alignment horizontal="center" wrapText="1"/>
      <protection hidden="1"/>
    </xf>
    <xf numFmtId="0" fontId="29" fillId="5" borderId="13" xfId="0" applyFont="1" applyFill="1" applyBorder="1" applyAlignment="1" applyProtection="1">
      <alignment horizontal="center" wrapText="1"/>
      <protection hidden="1"/>
    </xf>
    <xf numFmtId="0" fontId="29" fillId="5" borderId="14" xfId="0" applyFont="1" applyFill="1" applyBorder="1" applyAlignment="1" applyProtection="1">
      <alignment horizontal="center" wrapText="1"/>
      <protection hidden="1"/>
    </xf>
    <xf numFmtId="0" fontId="29" fillId="5" borderId="15" xfId="0" applyFont="1" applyFill="1" applyBorder="1" applyAlignment="1" applyProtection="1">
      <alignment horizontal="center" wrapText="1"/>
      <protection hidden="1"/>
    </xf>
    <xf numFmtId="0" fontId="21" fillId="0" borderId="0" xfId="0" applyFont="1" applyAlignment="1">
      <alignment horizontal="left" vertical="top" wrapText="1"/>
    </xf>
    <xf numFmtId="0" fontId="20" fillId="0" borderId="0" xfId="0" applyFont="1" applyAlignment="1" applyProtection="1">
      <alignment horizontal="center"/>
      <protection hidden="1"/>
    </xf>
    <xf numFmtId="0" fontId="21" fillId="0" borderId="0" xfId="0" applyFont="1" applyAlignment="1" applyProtection="1">
      <alignment horizontal="left" wrapText="1"/>
      <protection hidden="1"/>
    </xf>
    <xf numFmtId="0" fontId="21" fillId="0" borderId="0" xfId="0" applyFont="1" applyAlignment="1" applyProtection="1">
      <alignment wrapText="1"/>
      <protection hidden="1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 wrapText="1"/>
      <protection locked="0"/>
    </xf>
    <xf numFmtId="0" fontId="0" fillId="0" borderId="4" xfId="0" applyBorder="1" applyAlignment="1" applyProtection="1">
      <alignment horizontal="left" vertical="top"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9" fillId="2" borderId="5" xfId="0" applyFont="1" applyFill="1" applyBorder="1" applyAlignment="1" applyProtection="1">
      <alignment horizontal="left" wrapText="1"/>
      <protection locked="0"/>
    </xf>
    <xf numFmtId="0" fontId="0" fillId="0" borderId="6" xfId="0" applyBorder="1" applyAlignment="1" applyProtection="1">
      <alignment horizontal="left" wrapText="1"/>
      <protection locked="0"/>
    </xf>
    <xf numFmtId="0" fontId="0" fillId="0" borderId="7" xfId="0" applyBorder="1" applyAlignment="1" applyProtection="1">
      <alignment horizontal="left" wrapText="1"/>
      <protection locked="0"/>
    </xf>
    <xf numFmtId="0" fontId="0" fillId="0" borderId="3" xfId="0" applyBorder="1" applyAlignment="1" applyProtection="1">
      <alignment vertical="top" wrapText="1"/>
      <protection locked="0"/>
    </xf>
    <xf numFmtId="0" fontId="0" fillId="0" borderId="4" xfId="0" applyBorder="1" applyAlignment="1" applyProtection="1">
      <alignment vertical="top" wrapText="1"/>
      <protection locked="0"/>
    </xf>
    <xf numFmtId="0" fontId="0" fillId="0" borderId="2" xfId="0" applyBorder="1" applyAlignment="1" applyProtection="1">
      <alignment vertical="top" wrapText="1"/>
      <protection locked="0"/>
    </xf>
    <xf numFmtId="0" fontId="9" fillId="0" borderId="0" xfId="0" applyFont="1" applyAlignment="1" applyProtection="1">
      <alignment horizontal="left" wrapText="1"/>
      <protection hidden="1"/>
    </xf>
    <xf numFmtId="0" fontId="9" fillId="0" borderId="0" xfId="0" applyFont="1" applyAlignment="1" applyProtection="1">
      <alignment wrapText="1"/>
      <protection hidden="1"/>
    </xf>
    <xf numFmtId="0" fontId="5" fillId="0" borderId="0" xfId="0" applyFont="1" applyAlignment="1" applyProtection="1">
      <alignment horizontal="left" vertical="top" wrapText="1"/>
      <protection hidden="1"/>
    </xf>
    <xf numFmtId="0" fontId="0" fillId="0" borderId="0" xfId="0" applyAlignment="1">
      <alignment vertical="top" wrapText="1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 wrapText="1"/>
    </xf>
  </cellXfs>
  <cellStyles count="2">
    <cellStyle name="Hyperlink" xfId="1" builtinId="8"/>
    <cellStyle name="Normal" xfId="0" builtinId="0"/>
  </cellStyles>
  <dxfs count="64">
    <dxf>
      <numFmt numFmtId="164" formatCode="0.000"/>
    </dxf>
    <dxf>
      <numFmt numFmtId="164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00FF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ist" dx="16" fmlaLink="calculation!$H$13" fmlaRange="calculation!$I$14:$I$15" sel="1" val="0"/>
</file>

<file path=xl/ctrlProps/ctrlProp2.xml><?xml version="1.0" encoding="utf-8"?>
<formControlPr xmlns="http://schemas.microsoft.com/office/spreadsheetml/2009/9/main" objectType="Drop" dropLines="20" dropStyle="combo" dx="16" fmlaLink="calculation!$G$1" fmlaRange="calculation!$F$2:$F$10" sel="1" val="0"/>
</file>

<file path=xl/ctrlProps/ctrlProp3.xml><?xml version="1.0" encoding="utf-8"?>
<formControlPr xmlns="http://schemas.microsoft.com/office/spreadsheetml/2009/9/main" objectType="Radio" firstButton="1" fmlaLink="calculation!$B$2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Drop" dropLines="20" dropStyle="combo" dx="16" fmlaLink="calculation!$G$1" fmlaRange="calculation!$F$2:$F$10" sel="1" val="0"/>
</file>

<file path=xl/ctrlProps/ctrlProp6.xml><?xml version="1.0" encoding="utf-8"?>
<formControlPr xmlns="http://schemas.microsoft.com/office/spreadsheetml/2009/9/main" objectType="Radio" firstButton="1" fmlaLink="calculation!$B$21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List" dx="16" fmlaLink="calculation!$J$8" fmlaRange="calculation!$I$8:$I$9" sel="2" val="0"/>
</file>

<file path=xl/ctrlProps/ctrlProp9.xml><?xml version="1.0" encoding="utf-8"?>
<formControlPr xmlns="http://schemas.microsoft.com/office/spreadsheetml/2009/9/main" objectType="List" dx="16" fmlaLink="calculation!$O$4" fmlaRange="calculation!$N$4:$N$5" sel="2" val="0"/>
</file>

<file path=xl/ctrlProps/ctrlProp10.xml><?xml version="1.0" encoding="utf-8"?>
<formControlPr xmlns="http://schemas.microsoft.com/office/spreadsheetml/2009/9/main" objectType="List" dx="16" fmlaLink="calculation!$H$13" fmlaRange="calculation!$I$14:$I$15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JP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5" Type="http://schemas.openxmlformats.org/officeDocument/2006/relationships/image" Target="../media/image18.JP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5" Type="http://schemas.openxmlformats.org/officeDocument/2006/relationships/image" Target="../media/image20.JPG"/><Relationship Id="rId4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123825</xdr:rowOff>
        </xdr:from>
        <xdr:to>
          <xdr:col>2</xdr:col>
          <xdr:colOff>1095375</xdr:colOff>
          <xdr:row>16</xdr:row>
          <xdr:rowOff>85725</xdr:rowOff>
        </xdr:to>
        <xdr:sp macro="" textlink="">
          <xdr:nvSpPr>
            <xdr:cNvPr id="7170" name="List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152400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7172" name="Drop Dow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22</xdr:row>
          <xdr:rowOff>104775</xdr:rowOff>
        </xdr:from>
        <xdr:to>
          <xdr:col>2</xdr:col>
          <xdr:colOff>1352550</xdr:colOff>
          <xdr:row>24</xdr:row>
          <xdr:rowOff>47625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104775</xdr:rowOff>
        </xdr:from>
        <xdr:to>
          <xdr:col>2</xdr:col>
          <xdr:colOff>542925</xdr:colOff>
          <xdr:row>24</xdr:row>
          <xdr:rowOff>47625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1</xdr:row>
          <xdr:rowOff>152400</xdr:rowOff>
        </xdr:from>
        <xdr:to>
          <xdr:col>6</xdr:col>
          <xdr:colOff>285750</xdr:colOff>
          <xdr:row>4</xdr:row>
          <xdr:rowOff>76200</xdr:rowOff>
        </xdr:to>
        <xdr:sp macro="" textlink="">
          <xdr:nvSpPr>
            <xdr:cNvPr id="7185" name="CommandButton1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156841</xdr:colOff>
      <xdr:row>57</xdr:row>
      <xdr:rowOff>152400</xdr:rowOff>
    </xdr:from>
    <xdr:to>
      <xdr:col>17</xdr:col>
      <xdr:colOff>148672</xdr:colOff>
      <xdr:row>74</xdr:row>
      <xdr:rowOff>5310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8EAF722B-B3DC-FD8E-8CB0-6B72DDBE71BA}"/>
            </a:ext>
          </a:extLst>
        </xdr:cNvPr>
        <xdr:cNvGrpSpPr/>
      </xdr:nvGrpSpPr>
      <xdr:grpSpPr>
        <a:xfrm>
          <a:off x="156841" y="9848850"/>
          <a:ext cx="5621106" cy="2605635"/>
          <a:chOff x="71116" y="10258425"/>
          <a:chExt cx="5621106" cy="2605635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0487" y="10258425"/>
            <a:ext cx="5431735" cy="2605635"/>
          </a:xfrm>
          <a:prstGeom prst="rect">
            <a:avLst/>
          </a:prstGeom>
        </xdr:spPr>
      </xdr:pic>
      <xdr:sp macro="" textlink="calculation!O30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828453" y="12438018"/>
            <a:ext cx="1041688" cy="2831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5FFFF65-091C-4E4B-99E2-6284E63D085B}" type="TxLink">
              <a:rPr lang="en-US" sz="10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0</a:t>
            </a:fld>
            <a:endParaRPr lang="en-GB" sz="1400">
              <a:solidFill>
                <a:srgbClr val="FF0000"/>
              </a:solidFill>
            </a:endParaRPr>
          </a:p>
        </xdr:txBody>
      </xdr:sp>
      <xdr:sp macro="" textlink="calculation!O33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 rot="5400000">
            <a:off x="229304" y="11910933"/>
            <a:ext cx="695953" cy="30393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277D539F-DAED-4EDA-A7B7-35F1E91D7FC4}" type="TxLink">
              <a:rPr lang="en-US" sz="10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0</a:t>
            </a:fld>
            <a:endParaRPr lang="en-GB" sz="1400">
              <a:solidFill>
                <a:srgbClr val="FF0000"/>
              </a:solidFill>
            </a:endParaRPr>
          </a:p>
        </xdr:txBody>
      </xdr:sp>
      <xdr:sp macro="" textlink="calculation!O29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3934396" y="12464581"/>
            <a:ext cx="1038225" cy="2808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FB4ED311-EB3E-4F71-B10E-7BC3C2C9053C}" type="TxLink">
              <a:rPr lang="en-US" sz="10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l"/>
              <a:t>0</a:t>
            </a:fld>
            <a:endParaRPr lang="en-GB" sz="1400" b="0">
              <a:solidFill>
                <a:srgbClr val="FF0000"/>
              </a:solidFill>
            </a:endParaRPr>
          </a:p>
        </xdr:txBody>
      </xdr:sp>
      <xdr:sp macro="" textlink="calculation!O32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71116" y="10985160"/>
            <a:ext cx="668812" cy="27912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9EEB5B2F-9904-4545-A560-3B83A9A6210E}" type="TxLink">
              <a:rPr lang="en-US" sz="10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r"/>
              <a:t>0</a:t>
            </a:fld>
            <a:endParaRPr lang="en-GB" sz="1400" b="0">
              <a:solidFill>
                <a:srgbClr val="FF0000"/>
              </a:solidFill>
            </a:endParaRPr>
          </a:p>
        </xdr:txBody>
      </xdr:sp>
    </xdr:grpSp>
    <xdr:clientData/>
  </xdr:twoCellAnchor>
  <xdr:twoCellAnchor editAs="oneCell">
    <xdr:from>
      <xdr:col>6</xdr:col>
      <xdr:colOff>246994</xdr:colOff>
      <xdr:row>81</xdr:row>
      <xdr:rowOff>42917</xdr:rowOff>
    </xdr:from>
    <xdr:to>
      <xdr:col>8</xdr:col>
      <xdr:colOff>115958</xdr:colOff>
      <xdr:row>85</xdr:row>
      <xdr:rowOff>114300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8969" y="12806417"/>
          <a:ext cx="954814" cy="719083"/>
        </a:xfrm>
        <a:prstGeom prst="rect">
          <a:avLst/>
        </a:prstGeom>
      </xdr:spPr>
    </xdr:pic>
    <xdr:clientData/>
  </xdr:twoCellAnchor>
  <xdr:twoCellAnchor editAs="oneCell">
    <xdr:from>
      <xdr:col>5</xdr:col>
      <xdr:colOff>402350</xdr:colOff>
      <xdr:row>90</xdr:row>
      <xdr:rowOff>70998</xdr:rowOff>
    </xdr:from>
    <xdr:to>
      <xdr:col>17</xdr:col>
      <xdr:colOff>247651</xdr:colOff>
      <xdr:row>96</xdr:row>
      <xdr:rowOff>89519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2057" y="14470170"/>
          <a:ext cx="1947370" cy="994341"/>
        </a:xfrm>
        <a:prstGeom prst="rect">
          <a:avLst/>
        </a:prstGeom>
      </xdr:spPr>
    </xdr:pic>
    <xdr:clientData/>
  </xdr:twoCellAnchor>
  <xdr:twoCellAnchor editAs="oneCell">
    <xdr:from>
      <xdr:col>6</xdr:col>
      <xdr:colOff>345270</xdr:colOff>
      <xdr:row>111</xdr:row>
      <xdr:rowOff>25280</xdr:rowOff>
    </xdr:from>
    <xdr:to>
      <xdr:col>8</xdr:col>
      <xdr:colOff>99642</xdr:colOff>
      <xdr:row>115</xdr:row>
      <xdr:rowOff>140804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6770" y="17990258"/>
          <a:ext cx="847676" cy="778133"/>
        </a:xfrm>
        <a:prstGeom prst="rect">
          <a:avLst/>
        </a:prstGeom>
      </xdr:spPr>
    </xdr:pic>
    <xdr:clientData/>
  </xdr:twoCellAnchor>
  <xdr:twoCellAnchor editAs="oneCell">
    <xdr:from>
      <xdr:col>6</xdr:col>
      <xdr:colOff>183930</xdr:colOff>
      <xdr:row>101</xdr:row>
      <xdr:rowOff>157655</xdr:rowOff>
    </xdr:from>
    <xdr:to>
      <xdr:col>8</xdr:col>
      <xdr:colOff>223345</xdr:colOff>
      <xdr:row>107</xdr:row>
      <xdr:rowOff>145126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8861" y="16350155"/>
          <a:ext cx="1129863" cy="9990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17</xdr:col>
      <xdr:colOff>1095375</xdr:colOff>
      <xdr:row>9</xdr:row>
      <xdr:rowOff>26558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1D68D51-7CDF-5EE8-C4D9-69BBDC0BE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724650" cy="1483883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116</xdr:row>
      <xdr:rowOff>137682</xdr:rowOff>
    </xdr:from>
    <xdr:to>
      <xdr:col>17</xdr:col>
      <xdr:colOff>1076325</xdr:colOff>
      <xdr:row>120</xdr:row>
      <xdr:rowOff>38181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D7796BD-9833-68EA-1616-737610A30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625" y="19406757"/>
          <a:ext cx="6657975" cy="548199"/>
        </a:xfrm>
        <a:prstGeom prst="rect">
          <a:avLst/>
        </a:prstGeom>
      </xdr:spPr>
    </xdr:pic>
    <xdr:clientData/>
  </xdr:twoCellAnchor>
  <xdr:twoCellAnchor>
    <xdr:from>
      <xdr:col>0</xdr:col>
      <xdr:colOff>85725</xdr:colOff>
      <xdr:row>118</xdr:row>
      <xdr:rowOff>76201</xdr:rowOff>
    </xdr:from>
    <xdr:to>
      <xdr:col>7</xdr:col>
      <xdr:colOff>180975</xdr:colOff>
      <xdr:row>121</xdr:row>
      <xdr:rowOff>152400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id="{8BA57D08-AA4A-2BA1-855C-38DF33833F83}"/>
            </a:ext>
          </a:extLst>
        </xdr:cNvPr>
        <xdr:cNvSpPr txBox="1">
          <a:spLocks noChangeArrowheads="1"/>
        </xdr:cNvSpPr>
      </xdr:nvSpPr>
      <xdr:spPr bwMode="auto">
        <a:xfrm>
          <a:off x="85725" y="19669126"/>
          <a:ext cx="4762500" cy="561974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R="214630" algn="just"/>
          <a:r>
            <a:rPr lang="en-US" sz="800" b="1">
              <a:effectLst/>
              <a:latin typeface="Aptos" panose="020B0004020202020204" pitchFamily="34" charset="0"/>
              <a:ea typeface="Times New Roman" panose="02020603050405020304" pitchFamily="18" charset="0"/>
              <a:cs typeface="Aptos" panose="020B0004020202020204" pitchFamily="34" charset="0"/>
            </a:rPr>
            <a:t>TECHNICAL ASSISTANCE:</a:t>
          </a:r>
          <a:r>
            <a:rPr lang="en-GB" sz="800" b="0" baseline="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800">
              <a:effectLst/>
              <a:latin typeface="Aptos" panose="020B0004020202020204" pitchFamily="34" charset="0"/>
              <a:ea typeface="Times New Roman" panose="02020603050405020304" pitchFamily="18" charset="0"/>
              <a:cs typeface="Aptos" panose="020B0004020202020204" pitchFamily="34" charset="0"/>
            </a:rPr>
            <a:t>If you have any queries, please do not hesitate to contact the Polytec Technical Services Department: </a:t>
          </a:r>
          <a:r>
            <a:rPr lang="en-GB" sz="800" baseline="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800">
              <a:effectLst/>
              <a:latin typeface="Aptos" panose="020B0004020202020204" pitchFamily="34" charset="0"/>
              <a:ea typeface="Times New Roman" panose="02020603050405020304" pitchFamily="18" charset="0"/>
              <a:cs typeface="Aptos" panose="020B0004020202020204" pitchFamily="34" charset="0"/>
            </a:rPr>
            <a:t>01257 488012  </a:t>
          </a:r>
          <a:r>
            <a:rPr lang="en-US" sz="800" u="sng">
              <a:solidFill>
                <a:srgbClr val="467886"/>
              </a:solidFill>
              <a:effectLst/>
              <a:latin typeface="Aptos" panose="020B0004020202020204" pitchFamily="34" charset="0"/>
              <a:ea typeface="Times New Roman" panose="02020603050405020304" pitchFamily="18" charset="0"/>
              <a:cs typeface="Aptos" panose="020B0004020202020204" pitchFamily="34" charset="0"/>
            </a:rPr>
            <a:t>technical.cc@iko.com</a:t>
          </a:r>
          <a:endParaRPr lang="en-GB" sz="800"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R="214630" algn="just"/>
          <a:r>
            <a:rPr lang="en-US" sz="11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en-GB" sz="1100"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60636</xdr:colOff>
      <xdr:row>76</xdr:row>
      <xdr:rowOff>42917</xdr:rowOff>
    </xdr:from>
    <xdr:to>
      <xdr:col>10</xdr:col>
      <xdr:colOff>4338</xdr:colOff>
      <xdr:row>81</xdr:row>
      <xdr:rowOff>536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5686" y="12787367"/>
          <a:ext cx="953352" cy="767244"/>
        </a:xfrm>
        <a:prstGeom prst="rect">
          <a:avLst/>
        </a:prstGeom>
      </xdr:spPr>
    </xdr:pic>
    <xdr:clientData/>
  </xdr:twoCellAnchor>
  <xdr:twoCellAnchor editAs="oneCell">
    <xdr:from>
      <xdr:col>9</xdr:col>
      <xdr:colOff>26713</xdr:colOff>
      <xdr:row>85</xdr:row>
      <xdr:rowOff>95250</xdr:rowOff>
    </xdr:from>
    <xdr:to>
      <xdr:col>9</xdr:col>
      <xdr:colOff>963706</xdr:colOff>
      <xdr:row>91</xdr:row>
      <xdr:rowOff>24409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0301" y="13945721"/>
          <a:ext cx="936993" cy="870453"/>
        </a:xfrm>
        <a:prstGeom prst="rect">
          <a:avLst/>
        </a:prstGeom>
      </xdr:spPr>
    </xdr:pic>
    <xdr:clientData/>
  </xdr:twoCellAnchor>
  <xdr:twoCellAnchor editAs="oneCell">
    <xdr:from>
      <xdr:col>9</xdr:col>
      <xdr:colOff>15379</xdr:colOff>
      <xdr:row>97</xdr:row>
      <xdr:rowOff>90151</xdr:rowOff>
    </xdr:from>
    <xdr:to>
      <xdr:col>9</xdr:col>
      <xdr:colOff>948530</xdr:colOff>
      <xdr:row>102</xdr:row>
      <xdr:rowOff>99390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5118" y="16539412"/>
          <a:ext cx="933151" cy="862348"/>
        </a:xfrm>
        <a:prstGeom prst="rect">
          <a:avLst/>
        </a:prstGeom>
      </xdr:spPr>
    </xdr:pic>
    <xdr:clientData/>
  </xdr:twoCellAnchor>
  <xdr:twoCellAnchor editAs="oneCell">
    <xdr:from>
      <xdr:col>9</xdr:col>
      <xdr:colOff>88923</xdr:colOff>
      <xdr:row>106</xdr:row>
      <xdr:rowOff>16998</xdr:rowOff>
    </xdr:from>
    <xdr:to>
      <xdr:col>9</xdr:col>
      <xdr:colOff>927683</xdr:colOff>
      <xdr:row>110</xdr:row>
      <xdr:rowOff>132522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8662" y="17981976"/>
          <a:ext cx="838760" cy="778133"/>
        </a:xfrm>
        <a:prstGeom prst="rect">
          <a:avLst/>
        </a:prstGeom>
      </xdr:spPr>
    </xdr:pic>
    <xdr:clientData/>
  </xdr:twoCellAnchor>
  <xdr:twoCellAnchor editAs="oneCell">
    <xdr:from>
      <xdr:col>1</xdr:col>
      <xdr:colOff>22411</xdr:colOff>
      <xdr:row>49</xdr:row>
      <xdr:rowOff>161924</xdr:rowOff>
    </xdr:from>
    <xdr:to>
      <xdr:col>10</xdr:col>
      <xdr:colOff>56028</xdr:colOff>
      <xdr:row>70</xdr:row>
      <xdr:rowOff>100852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061" y="8534399"/>
          <a:ext cx="6882092" cy="3339353"/>
        </a:xfrm>
        <a:prstGeom prst="rect">
          <a:avLst/>
        </a:prstGeom>
      </xdr:spPr>
    </xdr:pic>
    <xdr:clientData/>
  </xdr:twoCellAnchor>
  <xdr:twoCellAnchor>
    <xdr:from>
      <xdr:col>0</xdr:col>
      <xdr:colOff>180975</xdr:colOff>
      <xdr:row>57</xdr:row>
      <xdr:rowOff>9525</xdr:rowOff>
    </xdr:from>
    <xdr:to>
      <xdr:col>1</xdr:col>
      <xdr:colOff>611662</xdr:colOff>
      <xdr:row>58</xdr:row>
      <xdr:rowOff>126727</xdr:rowOff>
    </xdr:to>
    <xdr:sp macro="" textlink="calculation!O32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80975" y="9677400"/>
          <a:ext cx="678337" cy="27912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9EEB5B2F-9904-4545-A560-3B83A9A6210E}" type="TxLink">
            <a:rPr lang="en-US" sz="1000" b="0" i="0" u="none" strike="noStrike">
              <a:solidFill>
                <a:srgbClr val="FF0000"/>
              </a:solidFill>
              <a:latin typeface="Calibri"/>
              <a:cs typeface="Calibri"/>
            </a:rPr>
            <a:pPr algn="r"/>
            <a:t>0</a:t>
          </a:fld>
          <a:endParaRPr lang="en-GB" sz="1400" b="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114300</xdr:colOff>
      <xdr:row>61</xdr:row>
      <xdr:rowOff>152400</xdr:rowOff>
    </xdr:from>
    <xdr:to>
      <xdr:col>1</xdr:col>
      <xdr:colOff>418235</xdr:colOff>
      <xdr:row>66</xdr:row>
      <xdr:rowOff>38728</xdr:rowOff>
    </xdr:to>
    <xdr:sp macro="" textlink="calculation!O33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 rot="5400000">
          <a:off x="165941" y="10663984"/>
          <a:ext cx="695953" cy="30393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77D539F-DAED-4EDA-A7B7-35F1E91D7FC4}" type="TxLink">
            <a:rPr lang="en-US" sz="10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</a:t>
          </a:fld>
          <a:endParaRPr lang="en-GB" sz="14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847725</xdr:colOff>
      <xdr:row>68</xdr:row>
      <xdr:rowOff>66675</xdr:rowOff>
    </xdr:from>
    <xdr:to>
      <xdr:col>2</xdr:col>
      <xdr:colOff>594013</xdr:colOff>
      <xdr:row>70</xdr:row>
      <xdr:rowOff>25979</xdr:rowOff>
    </xdr:to>
    <xdr:sp macro="" textlink="calculation!O30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95375" y="11515725"/>
          <a:ext cx="1108363" cy="28315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5FFFF65-091C-4E4B-99E2-6284E63D085B}" type="TxLink">
            <a:rPr lang="en-US" sz="10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</a:t>
          </a:fld>
          <a:endParaRPr lang="en-GB" sz="14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219075</xdr:colOff>
      <xdr:row>68</xdr:row>
      <xdr:rowOff>104775</xdr:rowOff>
    </xdr:from>
    <xdr:to>
      <xdr:col>8</xdr:col>
      <xdr:colOff>228600</xdr:colOff>
      <xdr:row>70</xdr:row>
      <xdr:rowOff>61779</xdr:rowOff>
    </xdr:to>
    <xdr:sp macro="" textlink="calculation!O29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705350" y="11553825"/>
          <a:ext cx="1095375" cy="28085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B4ED311-EB3E-4F71-B10E-7BC3C2C9053C}" type="TxLink">
            <a:rPr lang="en-US" sz="1000" b="0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0</a:t>
          </a:fld>
          <a:endParaRPr lang="en-GB" sz="1400" b="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132694</xdr:colOff>
      <xdr:row>76</xdr:row>
      <xdr:rowOff>33392</xdr:rowOff>
    </xdr:from>
    <xdr:to>
      <xdr:col>9</xdr:col>
      <xdr:colOff>1087508</xdr:colOff>
      <xdr:row>80</xdr:row>
      <xdr:rowOff>152936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1069" y="12777842"/>
          <a:ext cx="954814" cy="767244"/>
        </a:xfrm>
        <a:prstGeom prst="rect">
          <a:avLst/>
        </a:prstGeom>
      </xdr:spPr>
    </xdr:pic>
    <xdr:clientData/>
  </xdr:twoCellAnchor>
  <xdr:twoCellAnchor editAs="oneCell">
    <xdr:from>
      <xdr:col>9</xdr:col>
      <xdr:colOff>127566</xdr:colOff>
      <xdr:row>85</xdr:row>
      <xdr:rowOff>95250</xdr:rowOff>
    </xdr:from>
    <xdr:to>
      <xdr:col>9</xdr:col>
      <xdr:colOff>1171575</xdr:colOff>
      <xdr:row>91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5673" y="14314714"/>
          <a:ext cx="1044009" cy="1008290"/>
        </a:xfrm>
        <a:prstGeom prst="rect">
          <a:avLst/>
        </a:prstGeom>
      </xdr:spPr>
    </xdr:pic>
    <xdr:clientData/>
  </xdr:twoCellAnchor>
  <xdr:twoCellAnchor editAs="oneCell">
    <xdr:from>
      <xdr:col>9</xdr:col>
      <xdr:colOff>50580</xdr:colOff>
      <xdr:row>96</xdr:row>
      <xdr:rowOff>138605</xdr:rowOff>
    </xdr:from>
    <xdr:to>
      <xdr:col>9</xdr:col>
      <xdr:colOff>1175845</xdr:colOff>
      <xdr:row>103</xdr:row>
      <xdr:rowOff>21301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080" y="16102505"/>
          <a:ext cx="1125265" cy="1044746"/>
        </a:xfrm>
        <a:prstGeom prst="rect">
          <a:avLst/>
        </a:prstGeom>
      </xdr:spPr>
    </xdr:pic>
    <xdr:clientData/>
  </xdr:twoCellAnchor>
  <xdr:twoCellAnchor editAs="oneCell">
    <xdr:from>
      <xdr:col>9</xdr:col>
      <xdr:colOff>221445</xdr:colOff>
      <xdr:row>106</xdr:row>
      <xdr:rowOff>25280</xdr:rowOff>
    </xdr:from>
    <xdr:to>
      <xdr:col>9</xdr:col>
      <xdr:colOff>1061667</xdr:colOff>
      <xdr:row>110</xdr:row>
      <xdr:rowOff>140804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9820" y="17656055"/>
          <a:ext cx="840222" cy="763224"/>
        </a:xfrm>
        <a:prstGeom prst="rect">
          <a:avLst/>
        </a:prstGeom>
      </xdr:spPr>
    </xdr:pic>
    <xdr:clientData/>
  </xdr:twoCellAnchor>
  <xdr:twoCellAnchor editAs="oneCell">
    <xdr:from>
      <xdr:col>0</xdr:col>
      <xdr:colOff>209549</xdr:colOff>
      <xdr:row>53</xdr:row>
      <xdr:rowOff>142875</xdr:rowOff>
    </xdr:from>
    <xdr:to>
      <xdr:col>10</xdr:col>
      <xdr:colOff>38099</xdr:colOff>
      <xdr:row>70</xdr:row>
      <xdr:rowOff>142876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49" y="9144000"/>
          <a:ext cx="6486525" cy="2752726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59</xdr:row>
      <xdr:rowOff>9525</xdr:rowOff>
    </xdr:from>
    <xdr:to>
      <xdr:col>1</xdr:col>
      <xdr:colOff>506887</xdr:colOff>
      <xdr:row>60</xdr:row>
      <xdr:rowOff>126727</xdr:rowOff>
    </xdr:to>
    <xdr:sp macro="" textlink="calculation!O32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8100" y="9982200"/>
          <a:ext cx="678337" cy="27912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9EEB5B2F-9904-4545-A560-3B83A9A6210E}" type="TxLink">
            <a:rPr lang="en-US" sz="1000" b="0" i="0" u="none" strike="noStrike">
              <a:solidFill>
                <a:srgbClr val="FF0000"/>
              </a:solidFill>
              <a:latin typeface="Calibri"/>
              <a:cs typeface="Calibri"/>
            </a:rPr>
            <a:pPr algn="r"/>
            <a:t>0</a:t>
          </a:fld>
          <a:endParaRPr lang="en-GB" sz="1400" b="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95250</xdr:colOff>
      <xdr:row>63</xdr:row>
      <xdr:rowOff>47625</xdr:rowOff>
    </xdr:from>
    <xdr:to>
      <xdr:col>1</xdr:col>
      <xdr:colOff>399185</xdr:colOff>
      <xdr:row>67</xdr:row>
      <xdr:rowOff>95878</xdr:rowOff>
    </xdr:to>
    <xdr:sp macro="" textlink="calculation!O33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 rot="5400000">
          <a:off x="108791" y="10864009"/>
          <a:ext cx="695953" cy="30393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77D539F-DAED-4EDA-A7B7-35F1E91D7FC4}" type="TxLink">
            <a:rPr lang="en-US" sz="10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</a:t>
          </a:fld>
          <a:endParaRPr lang="en-GB" sz="14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752475</xdr:colOff>
      <xdr:row>68</xdr:row>
      <xdr:rowOff>95250</xdr:rowOff>
    </xdr:from>
    <xdr:to>
      <xdr:col>2</xdr:col>
      <xdr:colOff>527338</xdr:colOff>
      <xdr:row>70</xdr:row>
      <xdr:rowOff>54554</xdr:rowOff>
    </xdr:to>
    <xdr:sp macro="" textlink="calculation!O30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962025" y="11525250"/>
          <a:ext cx="1108363" cy="28315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5FFFF65-091C-4E4B-99E2-6284E63D085B}" type="TxLink">
            <a:rPr lang="en-US" sz="10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</a:t>
          </a:fld>
          <a:endParaRPr lang="en-GB" sz="14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419099</xdr:colOff>
      <xdr:row>68</xdr:row>
      <xdr:rowOff>91003</xdr:rowOff>
    </xdr:from>
    <xdr:to>
      <xdr:col>9</xdr:col>
      <xdr:colOff>76199</xdr:colOff>
      <xdr:row>70</xdr:row>
      <xdr:rowOff>48007</xdr:rowOff>
    </xdr:to>
    <xdr:sp macro="" textlink="calculation!O29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4438649" y="11521003"/>
          <a:ext cx="1095375" cy="28085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B4ED311-EB3E-4F71-B10E-7BC3C2C9053C}" type="TxLink">
            <a:rPr lang="en-US" sz="1000" b="0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0</a:t>
          </a:fld>
          <a:endParaRPr lang="en-GB" sz="1400" b="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66019</xdr:colOff>
      <xdr:row>76</xdr:row>
      <xdr:rowOff>42917</xdr:rowOff>
    </xdr:from>
    <xdr:to>
      <xdr:col>9</xdr:col>
      <xdr:colOff>1020833</xdr:colOff>
      <xdr:row>81</xdr:row>
      <xdr:rowOff>536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7694" y="12758792"/>
          <a:ext cx="954814" cy="767244"/>
        </a:xfrm>
        <a:prstGeom prst="rect">
          <a:avLst/>
        </a:prstGeom>
      </xdr:spPr>
    </xdr:pic>
    <xdr:clientData/>
  </xdr:twoCellAnchor>
  <xdr:twoCellAnchor editAs="oneCell">
    <xdr:from>
      <xdr:col>9</xdr:col>
      <xdr:colOff>22791</xdr:colOff>
      <xdr:row>85</xdr:row>
      <xdr:rowOff>85725</xdr:rowOff>
    </xdr:from>
    <xdr:to>
      <xdr:col>9</xdr:col>
      <xdr:colOff>1066800</xdr:colOff>
      <xdr:row>91</xdr:row>
      <xdr:rowOff>114300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4466" y="14258925"/>
          <a:ext cx="1044009" cy="1000125"/>
        </a:xfrm>
        <a:prstGeom prst="rect">
          <a:avLst/>
        </a:prstGeom>
      </xdr:spPr>
    </xdr:pic>
    <xdr:clientData/>
  </xdr:twoCellAnchor>
  <xdr:twoCellAnchor editAs="oneCell">
    <xdr:from>
      <xdr:col>9</xdr:col>
      <xdr:colOff>60105</xdr:colOff>
      <xdr:row>97</xdr:row>
      <xdr:rowOff>95250</xdr:rowOff>
    </xdr:from>
    <xdr:to>
      <xdr:col>9</xdr:col>
      <xdr:colOff>1061062</xdr:colOff>
      <xdr:row>103</xdr:row>
      <xdr:rowOff>49876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1780" y="16211550"/>
          <a:ext cx="1000957" cy="954751"/>
        </a:xfrm>
        <a:prstGeom prst="rect">
          <a:avLst/>
        </a:prstGeom>
      </xdr:spPr>
    </xdr:pic>
    <xdr:clientData/>
  </xdr:twoCellAnchor>
  <xdr:twoCellAnchor editAs="oneCell">
    <xdr:from>
      <xdr:col>9</xdr:col>
      <xdr:colOff>221445</xdr:colOff>
      <xdr:row>106</xdr:row>
      <xdr:rowOff>25280</xdr:rowOff>
    </xdr:from>
    <xdr:to>
      <xdr:col>9</xdr:col>
      <xdr:colOff>1061667</xdr:colOff>
      <xdr:row>110</xdr:row>
      <xdr:rowOff>140804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5945" y="17637005"/>
          <a:ext cx="840222" cy="763224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55</xdr:row>
      <xdr:rowOff>38100</xdr:rowOff>
    </xdr:from>
    <xdr:to>
      <xdr:col>9</xdr:col>
      <xdr:colOff>1076324</xdr:colOff>
      <xdr:row>71</xdr:row>
      <xdr:rowOff>1129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49" y="9353550"/>
          <a:ext cx="6657975" cy="2553829"/>
        </a:xfrm>
        <a:prstGeom prst="rect">
          <a:avLst/>
        </a:prstGeom>
      </xdr:spPr>
    </xdr:pic>
    <xdr:clientData/>
  </xdr:twoCellAnchor>
  <xdr:twoCellAnchor>
    <xdr:from>
      <xdr:col>6</xdr:col>
      <xdr:colOff>238125</xdr:colOff>
      <xdr:row>69</xdr:row>
      <xdr:rowOff>0</xdr:rowOff>
    </xdr:from>
    <xdr:to>
      <xdr:col>8</xdr:col>
      <xdr:colOff>361950</xdr:colOff>
      <xdr:row>70</xdr:row>
      <xdr:rowOff>118929</xdr:rowOff>
    </xdr:to>
    <xdr:sp macro="" textlink="calculation!O29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4495800" y="11582400"/>
          <a:ext cx="1095375" cy="28085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B4ED311-EB3E-4F71-B10E-7BC3C2C9053C}" type="TxLink">
            <a:rPr lang="en-US" sz="1000" b="0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0</a:t>
          </a:fld>
          <a:endParaRPr lang="en-GB" sz="1400" b="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781050</xdr:colOff>
      <xdr:row>68</xdr:row>
      <xdr:rowOff>133350</xdr:rowOff>
    </xdr:from>
    <xdr:to>
      <xdr:col>2</xdr:col>
      <xdr:colOff>536863</xdr:colOff>
      <xdr:row>70</xdr:row>
      <xdr:rowOff>92654</xdr:rowOff>
    </xdr:to>
    <xdr:sp macro="" textlink="calculation!O30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971550" y="11553825"/>
          <a:ext cx="1108363" cy="28315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5FFFF65-091C-4E4B-99E2-6284E63D085B}" type="TxLink">
            <a:rPr lang="en-US" sz="10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</a:t>
          </a:fld>
          <a:endParaRPr lang="en-GB" sz="14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</xdr:colOff>
      <xdr:row>64</xdr:row>
      <xdr:rowOff>19050</xdr:rowOff>
    </xdr:from>
    <xdr:to>
      <xdr:col>1</xdr:col>
      <xdr:colOff>389660</xdr:colOff>
      <xdr:row>68</xdr:row>
      <xdr:rowOff>67303</xdr:rowOff>
    </xdr:to>
    <xdr:sp macro="" textlink="calculation!O33">
      <xdr:nvSpPr>
        <xdr:cNvPr id="9" name="TextBox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 rot="5400000">
          <a:off x="80216" y="10987834"/>
          <a:ext cx="695953" cy="30393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77D539F-DAED-4EDA-A7B7-35F1E91D7FC4}" type="TxLink">
            <a:rPr lang="en-US" sz="10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</a:t>
          </a:fld>
          <a:endParaRPr lang="en-GB" sz="14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104775</xdr:colOff>
      <xdr:row>60</xdr:row>
      <xdr:rowOff>57150</xdr:rowOff>
    </xdr:from>
    <xdr:to>
      <xdr:col>1</xdr:col>
      <xdr:colOff>592612</xdr:colOff>
      <xdr:row>62</xdr:row>
      <xdr:rowOff>12427</xdr:rowOff>
    </xdr:to>
    <xdr:sp macro="" textlink="calculation!O32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104775" y="10182225"/>
          <a:ext cx="678337" cy="27912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9EEB5B2F-9904-4545-A560-3B83A9A6210E}" type="TxLink">
            <a:rPr lang="en-US" sz="1000" b="0" i="0" u="none" strike="noStrike">
              <a:solidFill>
                <a:srgbClr val="FF0000"/>
              </a:solidFill>
              <a:latin typeface="Calibri"/>
              <a:cs typeface="Calibri"/>
            </a:rPr>
            <a:pPr algn="r"/>
            <a:t>0</a:t>
          </a:fld>
          <a:endParaRPr lang="en-GB" sz="1400" b="0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57150</xdr:rowOff>
        </xdr:from>
        <xdr:to>
          <xdr:col>3</xdr:col>
          <xdr:colOff>200025</xdr:colOff>
          <xdr:row>11</xdr:row>
          <xdr:rowOff>95250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6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10</xdr:row>
          <xdr:rowOff>47625</xdr:rowOff>
        </xdr:from>
        <xdr:to>
          <xdr:col>0</xdr:col>
          <xdr:colOff>581025</xdr:colOff>
          <xdr:row>11</xdr:row>
          <xdr:rowOff>152400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6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47625</xdr:rowOff>
        </xdr:from>
        <xdr:to>
          <xdr:col>1</xdr:col>
          <xdr:colOff>581025</xdr:colOff>
          <xdr:row>11</xdr:row>
          <xdr:rowOff>152400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</xdr:row>
          <xdr:rowOff>66675</xdr:rowOff>
        </xdr:from>
        <xdr:to>
          <xdr:col>3</xdr:col>
          <xdr:colOff>1057275</xdr:colOff>
          <xdr:row>3</xdr:row>
          <xdr:rowOff>142875</xdr:rowOff>
        </xdr:to>
        <xdr:sp macro="" textlink="">
          <xdr:nvSpPr>
            <xdr:cNvPr id="1043" name="CommandButton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6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13</xdr:row>
          <xdr:rowOff>85725</xdr:rowOff>
        </xdr:from>
        <xdr:to>
          <xdr:col>1</xdr:col>
          <xdr:colOff>409575</xdr:colOff>
          <xdr:row>14</xdr:row>
          <xdr:rowOff>180975</xdr:rowOff>
        </xdr:to>
        <xdr:sp macro="" textlink="">
          <xdr:nvSpPr>
            <xdr:cNvPr id="1057" name="List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6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17</xdr:row>
          <xdr:rowOff>85725</xdr:rowOff>
        </xdr:from>
        <xdr:to>
          <xdr:col>1</xdr:col>
          <xdr:colOff>409575</xdr:colOff>
          <xdr:row>18</xdr:row>
          <xdr:rowOff>180975</xdr:rowOff>
        </xdr:to>
        <xdr:sp macro="" textlink="">
          <xdr:nvSpPr>
            <xdr:cNvPr id="1058" name="List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6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19</xdr:row>
          <xdr:rowOff>0</xdr:rowOff>
        </xdr:from>
        <xdr:to>
          <xdr:col>3</xdr:col>
          <xdr:colOff>542925</xdr:colOff>
          <xdr:row>20</xdr:row>
          <xdr:rowOff>95250</xdr:rowOff>
        </xdr:to>
        <xdr:sp macro="" textlink="">
          <xdr:nvSpPr>
            <xdr:cNvPr id="1062" name="List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6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19050</xdr:colOff>
      <xdr:row>4</xdr:row>
      <xdr:rowOff>47625</xdr:rowOff>
    </xdr:from>
    <xdr:to>
      <xdr:col>9</xdr:col>
      <xdr:colOff>19049</xdr:colOff>
      <xdr:row>4</xdr:row>
      <xdr:rowOff>180975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419850" y="771525"/>
          <a:ext cx="3657599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48</xdr:row>
      <xdr:rowOff>95250</xdr:rowOff>
    </xdr:from>
    <xdr:to>
      <xdr:col>7</xdr:col>
      <xdr:colOff>285750</xdr:colOff>
      <xdr:row>70</xdr:row>
      <xdr:rowOff>123825</xdr:rowOff>
    </xdr:to>
    <xdr:pic>
      <xdr:nvPicPr>
        <xdr:cNvPr id="9228" name="Picture 4">
          <a:extLst>
            <a:ext uri="{FF2B5EF4-FFF2-40B4-BE49-F238E27FC236}">
              <a16:creationId xmlns:a16="http://schemas.microsoft.com/office/drawing/2014/main" id="{00000000-0008-0000-0900-00000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97" t="4523" r="29385" b="6300"/>
        <a:stretch>
          <a:fillRect/>
        </a:stretch>
      </xdr:blipFill>
      <xdr:spPr bwMode="auto">
        <a:xfrm>
          <a:off x="19050" y="8572500"/>
          <a:ext cx="5067300" cy="35909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B32CF6-1AC3-4120-B5C2-0DC3533D752E}" name="Tatadecks" displayName="Tatadecks" ref="A1:D29" totalsRowShown="0" headerRowDxfId="22">
  <autoFilter ref="A1:D29" xr:uid="{94B32CF6-1AC3-4120-B5C2-0DC3533D752E}"/>
  <tableColumns count="4">
    <tableColumn id="1" xr3:uid="{C76700D9-A30C-48CF-8F7D-1AAD77C0B6A4}" name="Deck" dataDxfId="21"/>
    <tableColumn id="2" xr3:uid="{2BA08F6F-84DB-49EC-9DCA-8FBD68AD3E39}" name="Pitch mm" dataDxfId="20"/>
    <tableColumn id="3" xr3:uid="{7833EB81-BA5A-471E-A709-B464D0C4A14F}" name="Bonding_a"/>
    <tableColumn id="4" xr3:uid="{36DC5E52-EEF2-479A-9FBB-FCB56FB37209}" name="Cpi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F5410E-0411-46BB-90EA-2B1184F09A85}" name="bond_val_kN" displayName="bond_val_kN" ref="G1:H53" totalsRowShown="0" headerRowDxfId="18" headerRowBorderDxfId="17" tableBorderDxfId="16" totalsRowBorderDxfId="15">
  <autoFilter ref="G1:H53" xr:uid="{A9F5410E-0411-46BB-90EA-2B1184F09A85}"/>
  <tableColumns count="2">
    <tableColumn id="1" xr3:uid="{68255FF7-0BA8-4428-B9C7-B554808E5E8E}" name="Contact Area_%" dataDxfId="14"/>
    <tableColumn id="2" xr3:uid="{73BD43D7-303E-4FD7-94FA-F54A4A43A95E}" name="Max uplift kN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59A945-71C4-4DF9-A40C-BFCBF1AF1D07}" name="Parapet" displayName="Parapet" ref="K1:O5" totalsRowShown="0" headerRowDxfId="12">
  <autoFilter ref="K1:O5" xr:uid="{0F59A945-71C4-4DF9-A40C-BFCBF1AF1D07}"/>
  <tableColumns count="5">
    <tableColumn id="9" xr3:uid="{1740848A-E9FA-45C9-8048-4CA293301921}" name="Check NO" dataDxfId="11"/>
    <tableColumn id="1" xr3:uid="{0DF43960-B3B7-4BB5-9260-E3F8D431D551}" name="Parapet co"/>
    <tableColumn id="2" xr3:uid="{E554C36C-A214-4757-8485-6552F15DBF50}" name="Corner" dataDxfId="10"/>
    <tableColumn id="3" xr3:uid="{066743F0-0CC3-4797-A32B-85AFA2BFC57A}" name="Perimeter" dataDxfId="9"/>
    <tableColumn id="4" xr3:uid="{3BBFC82E-20F4-4795-A9C7-3E8E8CCBE338}" name="Central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7C90CE9-4C55-44A8-843A-EF9A77A7DB12}" name="Table5" displayName="Table5" ref="R1:S3" totalsRowShown="0" headerRowDxfId="7">
  <autoFilter ref="R1:S3" xr:uid="{77C90CE9-4C55-44A8-843A-EF9A77A7DB12}"/>
  <tableColumns count="2">
    <tableColumn id="1" xr3:uid="{2478F744-2401-4336-A782-56FC9392FFCA}" name="ID"/>
    <tableColumn id="2" xr3:uid="{701BF6C7-CAA9-4F37-A55E-5CB37BC25800}" name="Opening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D373682-9DEC-4697-BEC1-33CD60CC0233}" name="Table6" displayName="Table6" ref="U1:U3" totalsRowShown="0" headerRowDxfId="5" dataDxfId="4">
  <autoFilter ref="U1:U3" xr:uid="{6D373682-9DEC-4697-BEC1-33CD60CC0233}"/>
  <tableColumns count="1">
    <tableColumn id="1" xr3:uid="{29228816-F653-447B-B257-DC40ED5C5812}" name="FoS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9945A71-2C5A-4EC0-B715-CC13E69B9746}" name="Table7" displayName="Table7" ref="W1:W3" totalsRowShown="0" headerRowDxfId="2" dataDxfId="1">
  <autoFilter ref="W1:W3" xr:uid="{59945A71-2C5A-4EC0-B715-CC13E69B9746}"/>
  <tableColumns count="1">
    <tableColumn id="1" xr3:uid="{10E16E64-002D-413E-AF3D-AEDAA73EB2BB}" name="Design Loa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printerSettings" Target="../printerSettings/printerSettings6.bin"/><Relationship Id="rId7" Type="http://schemas.openxmlformats.org/officeDocument/2006/relationships/image" Target="../media/image21.emf"/><Relationship Id="rId12" Type="http://schemas.openxmlformats.org/officeDocument/2006/relationships/ctrlProp" Target="../ctrlProps/ctrlProp9.xml"/><Relationship Id="rId2" Type="http://schemas.openxmlformats.org/officeDocument/2006/relationships/hyperlink" Target="mailto:david@roofconsult.co.uk" TargetMode="External"/><Relationship Id="rId1" Type="http://schemas.openxmlformats.org/officeDocument/2006/relationships/hyperlink" Target="http://www.roofconsult.co.uk/" TargetMode="External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8.xml"/><Relationship Id="rId5" Type="http://schemas.openxmlformats.org/officeDocument/2006/relationships/vmlDrawing" Target="../drawings/vmlDrawing5.vml"/><Relationship Id="rId10" Type="http://schemas.openxmlformats.org/officeDocument/2006/relationships/ctrlProp" Target="../ctrlProps/ctrlProp7.xml"/><Relationship Id="rId4" Type="http://schemas.openxmlformats.org/officeDocument/2006/relationships/drawing" Target="../drawings/drawing6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4D212-50B5-4814-8EAB-5888DC3D642B}">
  <sheetPr codeName="Sheet11"/>
  <dimension ref="B1:O28"/>
  <sheetViews>
    <sheetView tabSelected="1" workbookViewId="0">
      <selection activeCell="C10" sqref="C10"/>
    </sheetView>
  </sheetViews>
  <sheetFormatPr defaultRowHeight="12.75" x14ac:dyDescent="0.2"/>
  <cols>
    <col min="2" max="2" width="23.85546875" bestFit="1" customWidth="1"/>
    <col min="3" max="3" width="23.42578125" customWidth="1"/>
  </cols>
  <sheetData>
    <row r="1" spans="2:15" x14ac:dyDescent="0.2">
      <c r="B1" s="161"/>
      <c r="C1" s="162"/>
      <c r="D1" s="162"/>
      <c r="E1" s="162"/>
      <c r="F1" s="162"/>
      <c r="G1" s="163"/>
    </row>
    <row r="2" spans="2:15" x14ac:dyDescent="0.2">
      <c r="B2" s="153" t="s">
        <v>242</v>
      </c>
      <c r="C2" s="224"/>
      <c r="D2" s="151"/>
      <c r="E2" s="151"/>
      <c r="F2" s="151"/>
      <c r="G2" s="152"/>
      <c r="H2" s="187"/>
      <c r="I2" s="187"/>
      <c r="J2" s="187"/>
      <c r="K2" s="187"/>
      <c r="L2" s="187"/>
      <c r="M2" s="187"/>
      <c r="N2" s="187"/>
      <c r="O2" s="187"/>
    </row>
    <row r="3" spans="2:15" x14ac:dyDescent="0.2">
      <c r="B3" s="154"/>
      <c r="C3" s="151"/>
      <c r="D3" s="151"/>
      <c r="E3" s="151"/>
      <c r="F3" s="151"/>
      <c r="G3" s="152"/>
      <c r="H3" s="187"/>
      <c r="I3" s="187"/>
      <c r="J3" s="187"/>
      <c r="K3" s="187"/>
      <c r="L3" s="187"/>
      <c r="M3" s="187"/>
      <c r="N3" s="187"/>
      <c r="O3" s="187"/>
    </row>
    <row r="4" spans="2:15" ht="15" x14ac:dyDescent="0.25">
      <c r="B4" s="153" t="s">
        <v>243</v>
      </c>
      <c r="C4" s="144"/>
      <c r="D4" s="151"/>
      <c r="E4" s="151"/>
      <c r="F4" s="151"/>
      <c r="G4" s="152"/>
      <c r="H4" s="187"/>
      <c r="I4" s="160"/>
      <c r="J4" s="159"/>
      <c r="K4" s="159"/>
      <c r="L4" s="159"/>
      <c r="M4" s="159"/>
      <c r="N4" s="187"/>
      <c r="O4" s="187"/>
    </row>
    <row r="5" spans="2:15" ht="15" x14ac:dyDescent="0.25">
      <c r="B5" s="154"/>
      <c r="C5" s="151"/>
      <c r="D5" s="151"/>
      <c r="E5" s="151"/>
      <c r="F5" s="151"/>
      <c r="G5" s="152"/>
      <c r="H5" s="187"/>
      <c r="I5" s="160" t="s">
        <v>134</v>
      </c>
      <c r="J5" s="159"/>
      <c r="K5" s="159"/>
      <c r="L5" s="159"/>
      <c r="M5" s="159"/>
      <c r="N5" s="187"/>
      <c r="O5" s="187"/>
    </row>
    <row r="6" spans="2:15" x14ac:dyDescent="0.2">
      <c r="B6" s="153" t="s">
        <v>244</v>
      </c>
      <c r="C6" s="144"/>
      <c r="D6" s="151"/>
      <c r="E6" s="151"/>
      <c r="F6" s="151"/>
      <c r="G6" s="152"/>
      <c r="H6" s="187"/>
      <c r="I6" s="48" t="s">
        <v>203</v>
      </c>
      <c r="J6" s="159"/>
      <c r="K6" s="159"/>
      <c r="L6" s="159"/>
      <c r="M6" s="159"/>
      <c r="N6" s="187"/>
      <c r="O6" s="187"/>
    </row>
    <row r="7" spans="2:15" x14ac:dyDescent="0.2">
      <c r="B7" s="154"/>
      <c r="C7" s="151"/>
      <c r="D7" s="151"/>
      <c r="E7" s="151"/>
      <c r="F7" s="151"/>
      <c r="G7" s="152"/>
      <c r="H7" s="187"/>
      <c r="I7" s="159"/>
      <c r="J7" s="159"/>
      <c r="K7" s="159"/>
      <c r="L7" s="159"/>
      <c r="M7" s="159"/>
      <c r="N7" s="187"/>
      <c r="O7" s="187"/>
    </row>
    <row r="8" spans="2:15" x14ac:dyDescent="0.2">
      <c r="B8" s="153" t="s">
        <v>163</v>
      </c>
      <c r="C8" s="144"/>
      <c r="D8" s="151"/>
      <c r="E8" s="151"/>
      <c r="F8" s="151"/>
      <c r="G8" s="152"/>
      <c r="H8" s="187"/>
      <c r="I8" s="159"/>
      <c r="J8" s="159"/>
      <c r="K8" s="159"/>
      <c r="L8" s="159"/>
      <c r="M8" s="159"/>
      <c r="N8" s="187"/>
      <c r="O8" s="187"/>
    </row>
    <row r="9" spans="2:15" x14ac:dyDescent="0.2">
      <c r="B9" s="154"/>
      <c r="C9" s="151"/>
      <c r="D9" s="151"/>
      <c r="E9" s="151"/>
      <c r="F9" s="151"/>
      <c r="G9" s="152"/>
      <c r="H9" s="187"/>
      <c r="I9" s="187"/>
      <c r="J9" s="187"/>
      <c r="K9" s="187"/>
      <c r="L9" s="187"/>
      <c r="M9" s="187"/>
      <c r="N9" s="187"/>
      <c r="O9" s="187"/>
    </row>
    <row r="10" spans="2:15" x14ac:dyDescent="0.2">
      <c r="B10" s="153" t="s">
        <v>164</v>
      </c>
      <c r="C10" s="145"/>
      <c r="D10" s="151"/>
      <c r="E10" s="151"/>
      <c r="F10" s="151"/>
      <c r="G10" s="152"/>
      <c r="H10" s="187"/>
      <c r="I10" s="187"/>
      <c r="J10" s="187"/>
      <c r="K10" s="187"/>
      <c r="L10" s="187"/>
      <c r="M10" s="187"/>
      <c r="N10" s="187"/>
      <c r="O10" s="187"/>
    </row>
    <row r="11" spans="2:15" x14ac:dyDescent="0.2">
      <c r="B11" s="153" t="s">
        <v>165</v>
      </c>
      <c r="C11" s="144"/>
      <c r="D11" s="151"/>
      <c r="E11" s="151"/>
      <c r="F11" s="151"/>
      <c r="G11" s="152"/>
      <c r="H11" s="187"/>
      <c r="I11" s="187"/>
      <c r="J11" s="187"/>
      <c r="K11" s="187"/>
      <c r="L11" s="187"/>
      <c r="M11" s="187"/>
      <c r="N11" s="187"/>
      <c r="O11" s="187"/>
    </row>
    <row r="12" spans="2:15" x14ac:dyDescent="0.2">
      <c r="B12" s="153" t="s">
        <v>166</v>
      </c>
      <c r="C12" s="145"/>
      <c r="D12" s="151"/>
      <c r="E12" s="151"/>
      <c r="F12" s="151"/>
      <c r="G12" s="152"/>
      <c r="H12" s="187"/>
      <c r="I12" s="187"/>
      <c r="J12" s="187"/>
      <c r="K12" s="187"/>
      <c r="L12" s="187"/>
      <c r="M12" s="187"/>
      <c r="N12" s="187"/>
      <c r="O12" s="187"/>
    </row>
    <row r="13" spans="2:15" x14ac:dyDescent="0.2">
      <c r="B13" s="153"/>
      <c r="C13" s="151"/>
      <c r="D13" s="151"/>
      <c r="E13" s="151"/>
      <c r="F13" s="151"/>
      <c r="G13" s="152"/>
      <c r="H13" s="187"/>
      <c r="I13" s="187"/>
      <c r="J13" s="187"/>
      <c r="K13" s="187"/>
      <c r="L13" s="187"/>
      <c r="M13" s="187"/>
      <c r="N13" s="187"/>
      <c r="O13" s="187"/>
    </row>
    <row r="14" spans="2:15" x14ac:dyDescent="0.2">
      <c r="B14" s="153" t="s">
        <v>247</v>
      </c>
      <c r="C14" s="151"/>
      <c r="D14" s="151"/>
      <c r="E14" s="151"/>
      <c r="F14" s="151"/>
      <c r="G14" s="152"/>
      <c r="H14" s="187"/>
      <c r="I14" s="187"/>
      <c r="J14" s="187"/>
      <c r="K14" s="187"/>
      <c r="L14" s="187"/>
      <c r="M14" s="187"/>
      <c r="N14" s="187"/>
      <c r="O14" s="187"/>
    </row>
    <row r="15" spans="2:15" x14ac:dyDescent="0.2">
      <c r="B15" s="154"/>
      <c r="C15" s="151"/>
      <c r="D15" s="151"/>
      <c r="E15" s="151"/>
      <c r="F15" s="151"/>
      <c r="G15" s="152"/>
    </row>
    <row r="16" spans="2:15" x14ac:dyDescent="0.2">
      <c r="B16" s="153" t="s">
        <v>256</v>
      </c>
      <c r="C16" s="151"/>
      <c r="D16" s="151"/>
      <c r="E16" s="151"/>
      <c r="F16" s="151"/>
      <c r="G16" s="152"/>
    </row>
    <row r="17" spans="2:7" x14ac:dyDescent="0.2">
      <c r="B17" s="153"/>
      <c r="C17" s="151"/>
      <c r="D17" s="151"/>
      <c r="E17" s="151"/>
      <c r="F17" s="151"/>
      <c r="G17" s="152"/>
    </row>
    <row r="18" spans="2:7" x14ac:dyDescent="0.2">
      <c r="B18" s="153"/>
      <c r="C18" s="151"/>
      <c r="D18" s="151"/>
      <c r="E18" s="151"/>
      <c r="F18" s="151"/>
      <c r="G18" s="152"/>
    </row>
    <row r="19" spans="2:7" x14ac:dyDescent="0.2">
      <c r="B19" s="153" t="s">
        <v>175</v>
      </c>
      <c r="C19" s="146" t="s">
        <v>249</v>
      </c>
      <c r="D19" s="158">
        <f>VLOOKUP('New Input'!C19,Tatadecks[[Deck]:[Pitch mm]],2,FALSE)</f>
        <v>0</v>
      </c>
      <c r="E19" s="158">
        <f>VLOOKUP('New Input'!C19,Tatadecks[],3,FALSE)</f>
        <v>0</v>
      </c>
      <c r="F19" s="151"/>
      <c r="G19" s="152"/>
    </row>
    <row r="20" spans="2:7" x14ac:dyDescent="0.2">
      <c r="B20" s="153" t="s">
        <v>245</v>
      </c>
      <c r="C20" s="147"/>
      <c r="D20" s="151"/>
      <c r="E20" s="151"/>
      <c r="F20" s="151"/>
      <c r="G20" s="152"/>
    </row>
    <row r="21" spans="2:7" x14ac:dyDescent="0.2">
      <c r="B21" s="153" t="s">
        <v>246</v>
      </c>
      <c r="C21" s="146"/>
      <c r="D21" s="151"/>
      <c r="E21" s="151"/>
      <c r="F21" s="151"/>
      <c r="G21" s="152"/>
    </row>
    <row r="22" spans="2:7" x14ac:dyDescent="0.2">
      <c r="B22" s="153" t="s">
        <v>313</v>
      </c>
      <c r="C22" s="146"/>
      <c r="D22" s="157" t="e">
        <f>Calculator!B35</f>
        <v>#DIV/0!</v>
      </c>
      <c r="E22" s="151"/>
      <c r="F22" s="151"/>
      <c r="G22" s="152"/>
    </row>
    <row r="23" spans="2:7" x14ac:dyDescent="0.2">
      <c r="B23" s="154"/>
      <c r="C23" s="151"/>
      <c r="D23" s="151"/>
      <c r="E23" s="151"/>
      <c r="F23" s="151"/>
      <c r="G23" s="152"/>
    </row>
    <row r="24" spans="2:7" x14ac:dyDescent="0.2">
      <c r="B24" s="153" t="s">
        <v>23</v>
      </c>
      <c r="C24" s="151"/>
      <c r="D24" s="151"/>
      <c r="E24" s="151"/>
      <c r="F24" s="155"/>
      <c r="G24" s="156"/>
    </row>
    <row r="25" spans="2:7" x14ac:dyDescent="0.2">
      <c r="B25" s="154"/>
      <c r="C25" s="151"/>
      <c r="D25" s="151"/>
      <c r="E25" s="151"/>
      <c r="F25" s="151"/>
      <c r="G25" s="152"/>
    </row>
    <row r="26" spans="2:7" x14ac:dyDescent="0.2">
      <c r="B26" s="153" t="s">
        <v>314</v>
      </c>
      <c r="C26" s="145">
        <v>1.35</v>
      </c>
      <c r="D26" s="151"/>
      <c r="E26" s="151"/>
      <c r="F26" s="151"/>
      <c r="G26" s="152"/>
    </row>
    <row r="27" spans="2:7" x14ac:dyDescent="0.2">
      <c r="B27" s="153" t="s">
        <v>315</v>
      </c>
      <c r="C27" s="145">
        <v>0.46700000000000003</v>
      </c>
      <c r="D27" s="151"/>
      <c r="E27" s="151"/>
      <c r="F27" s="151"/>
      <c r="G27" s="152"/>
    </row>
    <row r="28" spans="2:7" ht="13.5" thickBot="1" x14ac:dyDescent="0.25">
      <c r="B28" s="148"/>
      <c r="C28" s="149"/>
      <c r="D28" s="149"/>
      <c r="E28" s="149"/>
      <c r="F28" s="149"/>
      <c r="G28" s="150"/>
    </row>
  </sheetData>
  <sheetProtection algorithmName="SHA-512" hashValue="VJTbv2V0ji8lEX0iDfDsIym4pndlitQ5M+93vztKx5k1OjJChi5Tdo8jcG55wlqCQH4xORYAIbia6BV8S1tqAA==" saltValue="tyKytqmfWU7ldOXRzoou0g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85" r:id="rId4" name="CommandButton1">
          <controlPr defaultSize="0" autoLine="0" r:id="rId5">
            <anchor moveWithCells="1">
              <from>
                <xdr:col>4</xdr:col>
                <xdr:colOff>571500</xdr:colOff>
                <xdr:row>1</xdr:row>
                <xdr:rowOff>152400</xdr:rowOff>
              </from>
              <to>
                <xdr:col>6</xdr:col>
                <xdr:colOff>285750</xdr:colOff>
                <xdr:row>4</xdr:row>
                <xdr:rowOff>76200</xdr:rowOff>
              </to>
            </anchor>
          </controlPr>
        </control>
      </mc:Choice>
      <mc:Fallback>
        <control shapeId="7185" r:id="rId4" name="CommandButton1"/>
      </mc:Fallback>
    </mc:AlternateContent>
    <mc:AlternateContent xmlns:mc="http://schemas.openxmlformats.org/markup-compatibility/2006">
      <mc:Choice Requires="x14">
        <control shapeId="7170" r:id="rId6" name="List Box 2">
          <controlPr defaultSize="0" autoLine="0" autoPict="0">
            <anchor moveWithCells="1">
              <from>
                <xdr:col>2</xdr:col>
                <xdr:colOff>9525</xdr:colOff>
                <xdr:row>14</xdr:row>
                <xdr:rowOff>123825</xdr:rowOff>
              </from>
              <to>
                <xdr:col>2</xdr:col>
                <xdr:colOff>1095375</xdr:colOff>
                <xdr:row>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2" r:id="rId7" name="Drop Down 4">
          <controlPr defaultSize="0" autoLine="0" autoPict="0">
            <anchor moveWithCells="1">
              <from>
                <xdr:col>2</xdr:col>
                <xdr:colOff>19050</xdr:colOff>
                <xdr:row>12</xdr:row>
                <xdr:rowOff>152400</xdr:rowOff>
              </from>
              <to>
                <xdr:col>2</xdr:col>
                <xdr:colOff>800100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0" r:id="rId8" name="Option Button 12">
          <controlPr defaultSize="0" autoFill="0" autoLine="0" autoPict="0">
            <anchor moveWithCells="1">
              <from>
                <xdr:col>2</xdr:col>
                <xdr:colOff>819150</xdr:colOff>
                <xdr:row>22</xdr:row>
                <xdr:rowOff>104775</xdr:rowOff>
              </from>
              <to>
                <xdr:col>2</xdr:col>
                <xdr:colOff>1352550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1" r:id="rId9" name="Option Button 13">
          <controlPr defaultSize="0" autoFill="0" autoLine="0" autoPict="0">
            <anchor moveWithCells="1">
              <from>
                <xdr:col>2</xdr:col>
                <xdr:colOff>9525</xdr:colOff>
                <xdr:row>22</xdr:row>
                <xdr:rowOff>104775</xdr:rowOff>
              </from>
              <to>
                <xdr:col>2</xdr:col>
                <xdr:colOff>542925</xdr:colOff>
                <xdr:row>24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85B996-2520-453A-8C22-F80C12F7EE72}">
          <x14:formula1>
            <xm:f>Data_Tables!$A$2:$A$29</xm:f>
          </x14:formula1>
          <xm:sqref>C19</xm:sqref>
        </x14:dataValidation>
        <x14:dataValidation type="list" allowBlank="1" showInputMessage="1" showErrorMessage="1" xr:uid="{3D6069A4-36A9-47D2-8609-391695CA0AED}">
          <x14:formula1>
            <xm:f>Data_Tables!$U$2:$U$3</xm:f>
          </x14:formula1>
          <xm:sqref>C26</xm:sqref>
        </x14:dataValidation>
        <x14:dataValidation type="list" allowBlank="1" showInputMessage="1" showErrorMessage="1" xr:uid="{7CFF48CE-AF67-4D72-9E2C-1FBF27368985}">
          <x14:formula1>
            <xm:f>Data_Tables!$W$2:$W$3</xm:f>
          </x14:formula1>
          <xm:sqref>C27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4:Q116"/>
  <sheetViews>
    <sheetView showZeros="0" showOutlineSymbols="0" topLeftCell="A73" zoomScaleNormal="100" workbookViewId="0">
      <selection activeCell="I125" sqref="I125"/>
    </sheetView>
  </sheetViews>
  <sheetFormatPr defaultRowHeight="12.75" x14ac:dyDescent="0.2"/>
  <cols>
    <col min="1" max="1" width="3.28515625" style="53" customWidth="1"/>
    <col min="2" max="2" width="19.42578125" style="55" customWidth="1"/>
    <col min="3" max="3" width="16.42578125" style="55" customWidth="1"/>
    <col min="4" max="4" width="7.7109375" style="52" customWidth="1"/>
    <col min="5" max="8" width="7.7109375" style="53" customWidth="1"/>
    <col min="9" max="9" width="6.7109375" style="53" customWidth="1"/>
    <col min="10" max="10" width="8.85546875" style="53" hidden="1" customWidth="1"/>
    <col min="11" max="11" width="24" style="53" hidden="1" customWidth="1"/>
    <col min="12" max="17" width="9.140625" style="53" hidden="1" customWidth="1"/>
    <col min="18" max="18" width="16.5703125" style="53" customWidth="1"/>
    <col min="19" max="16384" width="9.140625" style="53"/>
  </cols>
  <sheetData>
    <row r="4" spans="2:17" ht="12.75" customHeight="1" x14ac:dyDescent="0.2">
      <c r="J4" s="230"/>
      <c r="K4" s="231"/>
      <c r="L4" s="231"/>
      <c r="M4" s="231"/>
      <c r="N4" s="231"/>
      <c r="O4" s="231"/>
      <c r="P4" s="231"/>
      <c r="Q4" s="231"/>
    </row>
    <row r="5" spans="2:17" x14ac:dyDescent="0.2">
      <c r="J5" s="230"/>
      <c r="K5" s="231"/>
      <c r="L5" s="231"/>
      <c r="M5" s="231"/>
      <c r="N5" s="231"/>
      <c r="O5" s="231"/>
      <c r="P5" s="231"/>
      <c r="Q5" s="231"/>
    </row>
    <row r="6" spans="2:17" x14ac:dyDescent="0.2">
      <c r="J6" s="230"/>
      <c r="K6" s="231"/>
      <c r="L6" s="231"/>
      <c r="M6" s="231"/>
      <c r="N6" s="231"/>
      <c r="O6" s="231"/>
      <c r="P6" s="231"/>
      <c r="Q6" s="231"/>
    </row>
    <row r="7" spans="2:17" x14ac:dyDescent="0.2">
      <c r="J7" s="230"/>
      <c r="K7" s="231"/>
      <c r="L7" s="231"/>
      <c r="M7" s="231"/>
      <c r="N7" s="231"/>
      <c r="O7" s="231"/>
      <c r="P7" s="231"/>
      <c r="Q7" s="231"/>
    </row>
    <row r="8" spans="2:17" x14ac:dyDescent="0.2">
      <c r="J8" s="230"/>
      <c r="K8" s="231"/>
      <c r="L8" s="231"/>
      <c r="M8" s="231"/>
      <c r="N8" s="231"/>
      <c r="O8" s="231"/>
      <c r="P8" s="231"/>
      <c r="Q8" s="231"/>
    </row>
    <row r="9" spans="2:17" x14ac:dyDescent="0.2">
      <c r="J9" s="230"/>
      <c r="K9" s="231"/>
      <c r="L9" s="231"/>
      <c r="M9" s="231"/>
      <c r="N9" s="231"/>
      <c r="O9" s="231"/>
      <c r="P9" s="231"/>
      <c r="Q9" s="231"/>
    </row>
    <row r="10" spans="2:17" x14ac:dyDescent="0.2">
      <c r="J10" s="230"/>
      <c r="K10" s="231"/>
      <c r="L10" s="231"/>
      <c r="M10" s="231"/>
      <c r="N10" s="231"/>
      <c r="O10" s="231"/>
      <c r="P10" s="231"/>
      <c r="Q10" s="231"/>
    </row>
    <row r="11" spans="2:17" x14ac:dyDescent="0.2">
      <c r="B11" s="230" t="str">
        <f>"Project:  " &amp; 'New Input'!C4</f>
        <v xml:space="preserve">Project:  </v>
      </c>
      <c r="C11" s="230"/>
      <c r="D11" s="230"/>
      <c r="E11" s="230"/>
      <c r="F11" s="230"/>
      <c r="G11" s="230"/>
      <c r="H11" s="230"/>
      <c r="I11" s="230"/>
      <c r="J11" s="230"/>
      <c r="K11" s="231"/>
      <c r="L11" s="231"/>
      <c r="M11" s="231"/>
      <c r="N11" s="231"/>
      <c r="O11" s="231"/>
      <c r="P11" s="231"/>
      <c r="Q11" s="231"/>
    </row>
    <row r="12" spans="2:17" x14ac:dyDescent="0.2">
      <c r="B12" s="230"/>
      <c r="C12" s="230"/>
      <c r="D12" s="230"/>
      <c r="E12" s="230"/>
      <c r="F12" s="230"/>
      <c r="G12" s="230"/>
      <c r="H12" s="230"/>
      <c r="I12" s="230"/>
      <c r="J12" s="231"/>
      <c r="K12" s="231"/>
      <c r="L12" s="231"/>
      <c r="M12" s="231"/>
      <c r="N12" s="231"/>
      <c r="O12" s="231"/>
      <c r="P12" s="231"/>
      <c r="Q12" s="231"/>
    </row>
    <row r="13" spans="2:17" x14ac:dyDescent="0.2">
      <c r="B13" s="67" t="s">
        <v>162</v>
      </c>
      <c r="C13" s="238" t="str">
        <f>Calculator!T2&amp;'New Input'!C2&amp;"-"&amp;'New Input'!C4</f>
        <v>WUC-SP-00-</v>
      </c>
      <c r="D13" s="238"/>
      <c r="E13" s="238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</row>
    <row r="14" spans="2:17" x14ac:dyDescent="0.2">
      <c r="B14" s="68" t="s">
        <v>163</v>
      </c>
      <c r="C14" s="141" t="str">
        <f>UPPER('New Input'!C8)</f>
        <v/>
      </c>
      <c r="D14" s="103"/>
      <c r="E14" s="103"/>
      <c r="F14" s="103"/>
      <c r="G14" s="103"/>
      <c r="H14" s="103"/>
      <c r="I14" s="103"/>
      <c r="J14" s="103"/>
      <c r="K14" s="103"/>
      <c r="L14" s="103"/>
      <c r="M14" s="103"/>
    </row>
    <row r="15" spans="2:17" x14ac:dyDescent="0.2">
      <c r="B15" s="68" t="s">
        <v>164</v>
      </c>
      <c r="C15" s="89">
        <f>calculation!B12</f>
        <v>0</v>
      </c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</row>
    <row r="16" spans="2:17" x14ac:dyDescent="0.2">
      <c r="B16" s="68" t="s">
        <v>165</v>
      </c>
      <c r="C16" s="89">
        <f>calculation!B13</f>
        <v>0</v>
      </c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</row>
    <row r="17" spans="2:17" x14ac:dyDescent="0.2">
      <c r="B17" s="68" t="s">
        <v>166</v>
      </c>
      <c r="C17" s="89">
        <f>calculation!B14</f>
        <v>0</v>
      </c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</row>
    <row r="18" spans="2:17" x14ac:dyDescent="0.2">
      <c r="B18" s="103" t="s">
        <v>11</v>
      </c>
      <c r="C18" s="88" t="s">
        <v>167</v>
      </c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</row>
    <row r="19" spans="2:17" x14ac:dyDescent="0.2">
      <c r="B19" s="103" t="s">
        <v>120</v>
      </c>
      <c r="C19" s="88" t="str">
        <f>'New Input'!C19</f>
        <v>Timber</v>
      </c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</row>
    <row r="20" spans="2:17" x14ac:dyDescent="0.2">
      <c r="B20" s="103" t="s">
        <v>253</v>
      </c>
      <c r="C20" s="103">
        <f>'New Input'!C26</f>
        <v>1.35</v>
      </c>
      <c r="D20" s="103"/>
      <c r="E20" s="103"/>
      <c r="F20" s="103"/>
      <c r="G20" s="103"/>
      <c r="H20" s="103"/>
      <c r="I20" s="103"/>
      <c r="J20" s="231"/>
      <c r="K20" s="231"/>
      <c r="L20" s="231"/>
      <c r="M20" s="231"/>
      <c r="N20" s="231"/>
      <c r="O20" s="231"/>
      <c r="P20" s="231"/>
      <c r="Q20" s="231"/>
    </row>
    <row r="21" spans="2:17" ht="12.75" customHeight="1" x14ac:dyDescent="0.2">
      <c r="B21" s="103"/>
      <c r="C21" s="103"/>
      <c r="D21" s="103"/>
      <c r="E21" s="103"/>
      <c r="F21" s="103"/>
      <c r="G21" s="103"/>
      <c r="H21" s="103"/>
      <c r="I21" s="103"/>
      <c r="J21" s="51"/>
      <c r="K21" s="51"/>
      <c r="L21" s="52"/>
    </row>
    <row r="22" spans="2:17" x14ac:dyDescent="0.2">
      <c r="B22" s="103"/>
      <c r="C22" s="103"/>
      <c r="D22" s="103"/>
      <c r="E22" s="103"/>
      <c r="F22" s="103"/>
      <c r="G22" s="103"/>
      <c r="H22" s="103"/>
      <c r="I22" s="103"/>
    </row>
    <row r="23" spans="2:17" x14ac:dyDescent="0.2">
      <c r="B23" s="103"/>
      <c r="C23" s="103"/>
      <c r="D23" s="103"/>
      <c r="E23" s="103"/>
      <c r="F23" s="103"/>
      <c r="G23" s="103"/>
      <c r="H23" s="103"/>
      <c r="I23" s="103"/>
    </row>
    <row r="24" spans="2:17" x14ac:dyDescent="0.2">
      <c r="B24" s="103"/>
      <c r="C24" s="103"/>
      <c r="D24" s="103"/>
      <c r="E24" s="103"/>
      <c r="F24" s="103"/>
      <c r="G24" s="103"/>
      <c r="H24" s="103"/>
      <c r="I24" s="103"/>
    </row>
    <row r="25" spans="2:17" x14ac:dyDescent="0.2">
      <c r="B25" s="103"/>
      <c r="C25" s="103"/>
      <c r="D25" s="103"/>
      <c r="E25" s="103"/>
      <c r="F25" s="103"/>
      <c r="G25" s="103"/>
      <c r="H25" s="103"/>
      <c r="I25" s="103"/>
      <c r="J25" s="55"/>
      <c r="K25" s="55"/>
      <c r="L25" s="58"/>
      <c r="M25" s="59"/>
      <c r="N25" s="60"/>
      <c r="O25" s="60"/>
      <c r="P25" s="60"/>
    </row>
    <row r="26" spans="2:17" x14ac:dyDescent="0.2">
      <c r="B26" s="51" t="s">
        <v>25</v>
      </c>
      <c r="C26" s="51"/>
      <c r="J26" s="55"/>
      <c r="K26" s="55"/>
      <c r="L26" s="61"/>
      <c r="M26" s="59"/>
      <c r="N26" s="60"/>
      <c r="O26" s="60"/>
      <c r="P26" s="60"/>
    </row>
    <row r="27" spans="2:17" x14ac:dyDescent="0.2">
      <c r="B27" s="53" t="s">
        <v>123</v>
      </c>
      <c r="C27" s="53"/>
      <c r="D27" s="53"/>
      <c r="I27" s="54"/>
      <c r="K27" s="55"/>
      <c r="L27" s="58"/>
      <c r="M27" s="59"/>
      <c r="N27" s="60"/>
      <c r="O27" s="60"/>
      <c r="P27" s="60"/>
    </row>
    <row r="28" spans="2:17" x14ac:dyDescent="0.2">
      <c r="B28" s="53" t="s">
        <v>124</v>
      </c>
      <c r="C28" s="53"/>
      <c r="D28" s="53"/>
      <c r="I28" s="54"/>
      <c r="K28" s="55"/>
      <c r="L28" s="58"/>
      <c r="M28" s="55"/>
      <c r="N28" s="69"/>
      <c r="O28" s="60"/>
      <c r="P28" s="60"/>
    </row>
    <row r="29" spans="2:17" x14ac:dyDescent="0.2">
      <c r="B29" s="51" t="s">
        <v>86</v>
      </c>
      <c r="C29" s="53"/>
      <c r="D29" s="56"/>
      <c r="E29" s="57"/>
      <c r="F29" s="57"/>
      <c r="G29" s="57"/>
      <c r="K29" s="55"/>
      <c r="L29" s="58"/>
      <c r="M29" s="51"/>
    </row>
    <row r="30" spans="2:17" ht="14.25" x14ac:dyDescent="0.25">
      <c r="B30" s="55" t="s">
        <v>144</v>
      </c>
      <c r="D30" s="58">
        <f>calculation!B6</f>
        <v>25.227773555263081</v>
      </c>
      <c r="E30" s="59" t="s">
        <v>2</v>
      </c>
      <c r="F30" s="60"/>
      <c r="G30" s="60"/>
      <c r="K30" s="55"/>
      <c r="L30" s="58"/>
      <c r="M30" s="55"/>
    </row>
    <row r="31" spans="2:17" ht="14.25" x14ac:dyDescent="0.25">
      <c r="B31" s="53" t="s">
        <v>145</v>
      </c>
      <c r="D31" s="58">
        <f>calculation!B1</f>
        <v>21.982137614639999</v>
      </c>
      <c r="E31" s="59" t="s">
        <v>2</v>
      </c>
      <c r="F31" s="60"/>
      <c r="G31" s="60"/>
      <c r="J31" s="69"/>
      <c r="K31" s="69"/>
      <c r="L31" s="69"/>
      <c r="M31" s="69"/>
      <c r="N31" s="66"/>
      <c r="O31" s="66"/>
      <c r="P31" s="66"/>
    </row>
    <row r="32" spans="2:17" ht="14.25" x14ac:dyDescent="0.25">
      <c r="B32" s="53" t="s">
        <v>146</v>
      </c>
      <c r="D32" s="61">
        <f>calculation!B2</f>
        <v>1.1469992949511201</v>
      </c>
      <c r="E32" s="55" t="str">
        <f>IF(Input!F7="",calculation!I2,calculation!I3)</f>
        <v>Site Altitude  163m</v>
      </c>
      <c r="G32" s="60"/>
      <c r="H32" s="57"/>
      <c r="I32" s="57"/>
      <c r="J32" s="55"/>
      <c r="K32" s="55"/>
      <c r="L32" s="61"/>
      <c r="M32" s="59"/>
      <c r="N32" s="69"/>
      <c r="O32" s="60"/>
      <c r="P32" s="60"/>
    </row>
    <row r="33" spans="2:16" ht="14.25" x14ac:dyDescent="0.25">
      <c r="B33" s="53" t="s">
        <v>147</v>
      </c>
      <c r="D33" s="61">
        <f>calculation!B3</f>
        <v>1</v>
      </c>
      <c r="E33" s="51"/>
      <c r="H33" s="60"/>
      <c r="I33" s="60"/>
      <c r="J33" s="59"/>
      <c r="M33" s="69"/>
      <c r="N33" s="59"/>
      <c r="O33" s="60"/>
      <c r="P33" s="52"/>
    </row>
    <row r="34" spans="2:16" ht="14.25" x14ac:dyDescent="0.25">
      <c r="B34" s="53" t="s">
        <v>148</v>
      </c>
      <c r="D34" s="61">
        <f>calculation!B4</f>
        <v>1</v>
      </c>
      <c r="E34" s="55"/>
      <c r="H34" s="60"/>
      <c r="I34" s="60"/>
      <c r="L34" s="63"/>
      <c r="M34" s="69"/>
      <c r="N34" s="59"/>
      <c r="O34" s="60"/>
      <c r="P34" s="52"/>
    </row>
    <row r="35" spans="2:16" ht="14.25" x14ac:dyDescent="0.25">
      <c r="B35" s="53" t="s">
        <v>149</v>
      </c>
      <c r="D35" s="61">
        <f>calculation!B5</f>
        <v>1.0005662526750301</v>
      </c>
      <c r="E35" s="55"/>
      <c r="H35" s="60"/>
      <c r="I35" s="60"/>
      <c r="K35" s="55"/>
      <c r="L35" s="63"/>
      <c r="M35" s="55"/>
      <c r="N35" s="69"/>
      <c r="O35" s="60"/>
      <c r="P35" s="60"/>
    </row>
    <row r="36" spans="2:16" x14ac:dyDescent="0.2">
      <c r="B36" s="51" t="s">
        <v>93</v>
      </c>
      <c r="C36" s="51"/>
      <c r="D36" s="61"/>
      <c r="E36" s="59"/>
      <c r="F36" s="60"/>
      <c r="G36" s="60"/>
      <c r="J36" s="97"/>
      <c r="K36" s="55"/>
      <c r="L36" s="52"/>
      <c r="M36" s="55"/>
      <c r="N36" s="69"/>
      <c r="O36" s="60"/>
      <c r="P36" s="60"/>
    </row>
    <row r="37" spans="2:16" ht="15.75" x14ac:dyDescent="0.25">
      <c r="B37" s="55" t="s">
        <v>150</v>
      </c>
      <c r="D37" s="61">
        <f>calculation!B7</f>
        <v>0.39013806239460197</v>
      </c>
      <c r="E37" s="62" t="s">
        <v>151</v>
      </c>
      <c r="F37" s="60"/>
      <c r="G37" s="60"/>
      <c r="J37" s="55"/>
      <c r="K37" s="69"/>
      <c r="L37" s="63"/>
      <c r="M37" s="62"/>
      <c r="N37" s="60"/>
      <c r="O37" s="60"/>
      <c r="P37" s="60"/>
    </row>
    <row r="38" spans="2:16" ht="14.25" x14ac:dyDescent="0.25">
      <c r="B38" s="53" t="s">
        <v>152</v>
      </c>
      <c r="C38" s="53"/>
      <c r="D38" s="63">
        <f>calculation!B8</f>
        <v>1.0695273515116701</v>
      </c>
      <c r="F38" s="59"/>
      <c r="G38" s="60"/>
      <c r="H38" s="60"/>
      <c r="I38" s="60"/>
      <c r="J38" s="51"/>
      <c r="K38" s="51"/>
      <c r="L38" s="69"/>
      <c r="M38" s="69"/>
      <c r="N38" s="69"/>
      <c r="O38" s="69"/>
      <c r="P38" s="69"/>
    </row>
    <row r="39" spans="2:16" ht="15.75" x14ac:dyDescent="0.25">
      <c r="B39" s="53" t="s">
        <v>153</v>
      </c>
      <c r="C39" s="53"/>
      <c r="D39" s="63">
        <f>calculation!B9</f>
        <v>2.7791999999999999</v>
      </c>
      <c r="F39" s="59"/>
      <c r="G39" s="60"/>
      <c r="H39" s="60"/>
      <c r="I39" s="60"/>
      <c r="J39" s="55"/>
      <c r="K39" s="69"/>
      <c r="L39" s="69"/>
      <c r="M39" s="65"/>
      <c r="N39" s="69"/>
      <c r="O39" s="52"/>
      <c r="P39" s="69"/>
    </row>
    <row r="40" spans="2:16" ht="15.75" x14ac:dyDescent="0.25">
      <c r="B40" s="53" t="s">
        <v>154</v>
      </c>
      <c r="D40" s="63">
        <f>calculation!B10</f>
        <v>1</v>
      </c>
      <c r="E40" s="55"/>
      <c r="G40" s="60"/>
      <c r="H40" s="60"/>
      <c r="I40" s="60"/>
      <c r="J40" s="69"/>
      <c r="K40" s="69"/>
      <c r="L40" s="69"/>
      <c r="M40" s="65"/>
      <c r="N40" s="69"/>
      <c r="O40" s="52"/>
      <c r="P40" s="69"/>
    </row>
    <row r="41" spans="2:16" x14ac:dyDescent="0.2">
      <c r="B41" s="51" t="s">
        <v>95</v>
      </c>
      <c r="C41" s="51"/>
      <c r="E41" s="55"/>
      <c r="F41" s="60"/>
      <c r="G41" s="60"/>
      <c r="H41" s="52"/>
      <c r="I41" s="59"/>
      <c r="J41" s="55"/>
      <c r="K41" s="69"/>
      <c r="L41" s="60"/>
      <c r="M41" s="60"/>
      <c r="N41" s="60"/>
      <c r="O41" s="60"/>
      <c r="P41" s="60"/>
    </row>
    <row r="42" spans="2:16" ht="15" x14ac:dyDescent="0.25">
      <c r="B42" s="55" t="s">
        <v>155</v>
      </c>
      <c r="D42" s="64">
        <f>calculation!B11</f>
        <v>1.18</v>
      </c>
      <c r="E42" s="62" t="s">
        <v>151</v>
      </c>
      <c r="F42" s="60"/>
      <c r="G42" s="60"/>
      <c r="H42" s="52"/>
      <c r="I42" s="59"/>
      <c r="J42" s="55"/>
      <c r="K42" s="69"/>
      <c r="L42" s="66"/>
      <c r="M42" s="66"/>
      <c r="N42" s="66"/>
      <c r="O42" s="66"/>
      <c r="P42" s="66"/>
    </row>
    <row r="43" spans="2:16" ht="15" x14ac:dyDescent="0.2">
      <c r="B43" s="51" t="s">
        <v>26</v>
      </c>
      <c r="E43" s="65"/>
      <c r="G43" s="52"/>
      <c r="H43" s="60"/>
      <c r="I43" s="60"/>
      <c r="J43" s="69"/>
      <c r="K43" s="69"/>
      <c r="L43" s="66"/>
      <c r="M43" s="66"/>
      <c r="N43" s="66"/>
      <c r="O43" s="66"/>
      <c r="P43" s="66"/>
    </row>
    <row r="44" spans="2:16" x14ac:dyDescent="0.2">
      <c r="B44" s="55" t="s">
        <v>27</v>
      </c>
      <c r="D44" s="66" t="s">
        <v>10</v>
      </c>
      <c r="E44" s="66" t="s">
        <v>106</v>
      </c>
      <c r="F44" s="66" t="s">
        <v>107</v>
      </c>
      <c r="G44" s="66"/>
      <c r="H44" s="60"/>
      <c r="I44" s="60"/>
      <c r="J44" s="55"/>
      <c r="K44" s="69"/>
      <c r="L44" s="66"/>
      <c r="M44" s="66"/>
      <c r="N44" s="66"/>
      <c r="O44" s="66"/>
      <c r="P44" s="66"/>
    </row>
    <row r="45" spans="2:16" ht="14.25" x14ac:dyDescent="0.25">
      <c r="B45" s="55" t="s">
        <v>156</v>
      </c>
      <c r="D45" s="60" t="e">
        <f>$D$42*D46</f>
        <v>#DIV/0!</v>
      </c>
      <c r="E45" s="60" t="e">
        <f>$D$42*E46</f>
        <v>#DIV/0!</v>
      </c>
      <c r="F45" s="60" t="e">
        <f>$D$42*F46</f>
        <v>#DIV/0!</v>
      </c>
      <c r="G45" s="60"/>
      <c r="J45" s="55"/>
      <c r="K45" s="69"/>
      <c r="L45" s="60"/>
      <c r="M45" s="60"/>
      <c r="N45" s="60"/>
      <c r="O45" s="60"/>
      <c r="P45" s="60"/>
    </row>
    <row r="46" spans="2:16" ht="14.25" x14ac:dyDescent="0.25">
      <c r="B46" s="55" t="s">
        <v>157</v>
      </c>
      <c r="D46" s="66" t="e">
        <f>Calculator!D43</f>
        <v>#DIV/0!</v>
      </c>
      <c r="E46" s="66" t="e">
        <f>Calculator!E43</f>
        <v>#DIV/0!</v>
      </c>
      <c r="F46" s="66" t="e">
        <f>Calculator!F43</f>
        <v>#DIV/0!</v>
      </c>
      <c r="G46" s="66"/>
      <c r="J46" s="55"/>
      <c r="K46" s="69"/>
      <c r="L46" s="60"/>
      <c r="M46" s="60"/>
      <c r="N46" s="60"/>
      <c r="O46" s="60"/>
      <c r="P46" s="60"/>
    </row>
    <row r="47" spans="2:16" x14ac:dyDescent="0.2">
      <c r="B47" s="55" t="s">
        <v>28</v>
      </c>
      <c r="D47" s="66"/>
      <c r="E47" s="66"/>
      <c r="F47" s="66"/>
      <c r="G47" s="66"/>
      <c r="H47" s="60"/>
      <c r="I47" s="60"/>
      <c r="J47" s="55"/>
      <c r="K47" s="69"/>
      <c r="L47" s="66"/>
      <c r="M47" s="66"/>
      <c r="N47" s="66"/>
      <c r="O47" s="66"/>
      <c r="P47" s="66"/>
    </row>
    <row r="48" spans="2:16" ht="12.75" customHeight="1" x14ac:dyDescent="0.25">
      <c r="B48" s="55" t="s">
        <v>158</v>
      </c>
      <c r="D48" s="60">
        <f>$D$42*D49</f>
        <v>0.23599999999999999</v>
      </c>
      <c r="E48" s="60">
        <f>$D$42*E49</f>
        <v>0.23599999999999999</v>
      </c>
      <c r="F48" s="60">
        <f>$D$42*F49</f>
        <v>0.23599999999999999</v>
      </c>
      <c r="G48" s="60"/>
      <c r="H48" s="66"/>
      <c r="I48" s="66"/>
      <c r="J48" s="69"/>
      <c r="K48" s="69"/>
      <c r="L48" s="66"/>
      <c r="M48" s="66"/>
      <c r="N48" s="66"/>
      <c r="O48" s="66"/>
      <c r="P48" s="66"/>
    </row>
    <row r="49" spans="2:16" ht="14.25" x14ac:dyDescent="0.25">
      <c r="B49" s="55" t="s">
        <v>159</v>
      </c>
      <c r="D49" s="66">
        <f>calculation!$C$20</f>
        <v>0.2</v>
      </c>
      <c r="E49" s="66">
        <f>calculation!$C$20</f>
        <v>0.2</v>
      </c>
      <c r="F49" s="66">
        <f>calculation!$C$20</f>
        <v>0.2</v>
      </c>
      <c r="G49" s="66"/>
      <c r="H49" s="66"/>
      <c r="I49" s="66"/>
      <c r="J49" s="69"/>
      <c r="K49" s="69"/>
      <c r="L49" s="66"/>
      <c r="M49" s="66"/>
      <c r="N49" s="66"/>
      <c r="O49" s="66"/>
      <c r="P49" s="66"/>
    </row>
    <row r="50" spans="2:16" ht="15" x14ac:dyDescent="0.2">
      <c r="B50" s="55" t="s">
        <v>160</v>
      </c>
      <c r="D50" s="66"/>
      <c r="E50" s="66"/>
      <c r="F50" s="66"/>
      <c r="G50" s="66"/>
      <c r="H50" s="66"/>
      <c r="I50" s="66"/>
      <c r="J50" s="69"/>
      <c r="K50" s="69"/>
      <c r="L50" s="66"/>
      <c r="M50" s="66"/>
      <c r="N50" s="66"/>
      <c r="O50" s="66"/>
      <c r="P50" s="66"/>
    </row>
    <row r="51" spans="2:16" ht="14.25" x14ac:dyDescent="0.25">
      <c r="B51" s="55" t="s">
        <v>161</v>
      </c>
      <c r="D51" s="60" t="e">
        <f>D45-D48</f>
        <v>#DIV/0!</v>
      </c>
      <c r="E51" s="60" t="e">
        <f>E45-E48</f>
        <v>#DIV/0!</v>
      </c>
      <c r="F51" s="60" t="e">
        <f>F45-F48</f>
        <v>#DIV/0!</v>
      </c>
      <c r="G51" s="66"/>
      <c r="H51" s="60"/>
      <c r="I51" s="60"/>
      <c r="J51" s="69"/>
      <c r="K51" s="69"/>
      <c r="L51" s="66"/>
      <c r="M51" s="66"/>
      <c r="N51" s="66"/>
      <c r="O51" s="66"/>
      <c r="P51" s="66"/>
    </row>
    <row r="52" spans="2:16" x14ac:dyDescent="0.2">
      <c r="B52" s="55" t="s">
        <v>129</v>
      </c>
      <c r="D52" s="60">
        <f>'New Input'!$C$26</f>
        <v>1.35</v>
      </c>
      <c r="E52" s="60">
        <f>'New Input'!$C$26</f>
        <v>1.35</v>
      </c>
      <c r="F52" s="60">
        <f>'New Input'!$C$26</f>
        <v>1.35</v>
      </c>
      <c r="G52" s="66"/>
      <c r="H52" s="60"/>
      <c r="I52" s="60"/>
      <c r="J52" s="55"/>
      <c r="K52" s="69"/>
      <c r="L52" s="66"/>
      <c r="M52" s="66"/>
      <c r="N52" s="66"/>
      <c r="O52" s="66"/>
      <c r="P52" s="66"/>
    </row>
    <row r="53" spans="2:16" ht="15" x14ac:dyDescent="0.2">
      <c r="B53" s="55" t="s">
        <v>160</v>
      </c>
      <c r="D53" s="60" t="e">
        <f>D51*D52</f>
        <v>#DIV/0!</v>
      </c>
      <c r="E53" s="60" t="e">
        <f>E51*E52</f>
        <v>#DIV/0!</v>
      </c>
      <c r="F53" s="60" t="e">
        <f>F51*F52</f>
        <v>#DIV/0!</v>
      </c>
      <c r="G53" s="60"/>
      <c r="H53" s="66"/>
      <c r="I53" s="66"/>
      <c r="J53" s="55"/>
      <c r="K53" s="69"/>
      <c r="L53" s="66"/>
      <c r="M53" s="66"/>
      <c r="N53" s="66"/>
      <c r="O53" s="66"/>
      <c r="P53" s="66"/>
    </row>
    <row r="54" spans="2:16" ht="15" x14ac:dyDescent="0.2">
      <c r="B54" s="55" t="s">
        <v>174</v>
      </c>
      <c r="C54" s="53"/>
      <c r="D54" s="60" t="e">
        <f>(-D53/'New Input'!$C$27)</f>
        <v>#DIV/0!</v>
      </c>
      <c r="E54" s="60" t="e">
        <f>(-E53/'New Input'!$C$27)</f>
        <v>#DIV/0!</v>
      </c>
      <c r="F54" s="60" t="e">
        <f>(-F53/'New Input'!$C$27)</f>
        <v>#DIV/0!</v>
      </c>
      <c r="G54" s="60"/>
      <c r="H54" s="66"/>
      <c r="I54" s="66"/>
      <c r="J54" s="55"/>
      <c r="K54" s="69"/>
      <c r="L54" s="66"/>
      <c r="M54" s="66"/>
      <c r="N54" s="66"/>
      <c r="O54" s="66"/>
      <c r="P54" s="66"/>
    </row>
    <row r="55" spans="2:16" x14ac:dyDescent="0.2">
      <c r="H55" s="66"/>
      <c r="I55" s="66"/>
      <c r="J55" s="55"/>
      <c r="K55" s="69"/>
      <c r="L55" s="66"/>
      <c r="M55" s="66"/>
      <c r="N55" s="66"/>
      <c r="O55" s="66"/>
      <c r="P55" s="66"/>
    </row>
    <row r="56" spans="2:16" x14ac:dyDescent="0.2">
      <c r="H56" s="66"/>
      <c r="I56" s="66"/>
      <c r="J56" s="55"/>
      <c r="K56" s="69"/>
      <c r="L56" s="66"/>
      <c r="M56" s="66"/>
      <c r="N56" s="66"/>
      <c r="O56" s="66"/>
      <c r="P56" s="66"/>
    </row>
    <row r="57" spans="2:16" x14ac:dyDescent="0.2">
      <c r="H57" s="66"/>
      <c r="I57" s="66"/>
    </row>
    <row r="58" spans="2:16" x14ac:dyDescent="0.2">
      <c r="H58" s="66"/>
      <c r="I58" s="66"/>
    </row>
    <row r="59" spans="2:16" x14ac:dyDescent="0.2">
      <c r="H59" s="66"/>
      <c r="I59" s="66"/>
    </row>
    <row r="60" spans="2:16" x14ac:dyDescent="0.2">
      <c r="H60" s="66"/>
      <c r="I60" s="66"/>
    </row>
    <row r="61" spans="2:16" x14ac:dyDescent="0.2">
      <c r="H61" s="66"/>
      <c r="I61" s="66"/>
    </row>
    <row r="62" spans="2:16" x14ac:dyDescent="0.2">
      <c r="H62" s="66"/>
      <c r="I62" s="66"/>
    </row>
    <row r="63" spans="2:16" x14ac:dyDescent="0.2">
      <c r="B63" s="53"/>
      <c r="C63" s="221"/>
      <c r="D63" s="53"/>
      <c r="H63" s="60"/>
      <c r="I63" s="60"/>
    </row>
    <row r="64" spans="2:16" x14ac:dyDescent="0.2">
      <c r="E64" s="60"/>
      <c r="F64" s="60"/>
      <c r="G64" s="60"/>
      <c r="H64" s="60"/>
      <c r="I64" s="60"/>
    </row>
    <row r="65" spans="2:9" x14ac:dyDescent="0.2">
      <c r="F65" s="60"/>
      <c r="G65" s="60"/>
      <c r="H65" s="60"/>
      <c r="I65" s="60"/>
    </row>
    <row r="66" spans="2:9" x14ac:dyDescent="0.2">
      <c r="C66" s="53"/>
      <c r="D66" s="66"/>
      <c r="E66" s="66"/>
      <c r="F66" s="66"/>
      <c r="G66" s="60"/>
      <c r="H66" s="60"/>
      <c r="I66" s="60"/>
    </row>
    <row r="67" spans="2:9" x14ac:dyDescent="0.2">
      <c r="G67" s="60"/>
      <c r="H67" s="60"/>
      <c r="I67" s="60"/>
    </row>
    <row r="68" spans="2:9" x14ac:dyDescent="0.2">
      <c r="C68" s="53"/>
      <c r="D68" s="66"/>
      <c r="E68" s="66"/>
      <c r="F68" s="66"/>
      <c r="G68" s="60"/>
      <c r="H68" s="60"/>
      <c r="I68" s="60"/>
    </row>
    <row r="69" spans="2:9" x14ac:dyDescent="0.2">
      <c r="C69" s="53"/>
      <c r="D69" s="66"/>
      <c r="E69" s="66"/>
      <c r="F69" s="66"/>
      <c r="G69" s="60"/>
      <c r="H69" s="60"/>
      <c r="I69" s="60"/>
    </row>
    <row r="70" spans="2:9" x14ac:dyDescent="0.2">
      <c r="C70" s="53"/>
      <c r="D70" s="104"/>
      <c r="E70" s="104"/>
      <c r="F70" s="104"/>
      <c r="G70" s="60"/>
      <c r="H70" s="60"/>
      <c r="I70" s="60"/>
    </row>
    <row r="71" spans="2:9" x14ac:dyDescent="0.2">
      <c r="C71" s="53"/>
      <c r="D71" s="104"/>
      <c r="E71" s="104"/>
      <c r="F71" s="104"/>
      <c r="G71" s="60"/>
      <c r="H71" s="60"/>
      <c r="I71" s="60"/>
    </row>
    <row r="72" spans="2:9" x14ac:dyDescent="0.2">
      <c r="C72" s="53"/>
      <c r="D72" s="105"/>
      <c r="E72" s="105"/>
      <c r="F72" s="105"/>
      <c r="G72" s="60"/>
      <c r="H72" s="60"/>
      <c r="I72" s="60"/>
    </row>
    <row r="73" spans="2:9" x14ac:dyDescent="0.2">
      <c r="B73" s="53"/>
      <c r="C73" s="53"/>
      <c r="D73" s="53"/>
      <c r="G73" s="66"/>
      <c r="H73" s="66"/>
      <c r="I73" s="66"/>
    </row>
    <row r="74" spans="2:9" x14ac:dyDescent="0.2">
      <c r="D74" s="60"/>
      <c r="E74" s="60"/>
      <c r="F74" s="60"/>
      <c r="G74" s="60"/>
      <c r="H74" s="60"/>
      <c r="I74" s="60"/>
    </row>
    <row r="75" spans="2:9" x14ac:dyDescent="0.2">
      <c r="D75" s="61"/>
      <c r="E75" s="61"/>
      <c r="F75" s="61"/>
      <c r="G75" s="61"/>
      <c r="H75" s="61"/>
      <c r="I75" s="61"/>
    </row>
    <row r="77" spans="2:9" x14ac:dyDescent="0.2">
      <c r="B77" s="229" t="s">
        <v>335</v>
      </c>
      <c r="C77" s="229"/>
      <c r="D77" s="229"/>
      <c r="E77" s="229"/>
      <c r="F77" s="229"/>
    </row>
    <row r="78" spans="2:9" x14ac:dyDescent="0.2">
      <c r="B78" s="74" t="s">
        <v>168</v>
      </c>
      <c r="C78" s="75"/>
      <c r="D78" s="76" t="s">
        <v>10</v>
      </c>
      <c r="E78" s="76" t="s">
        <v>106</v>
      </c>
      <c r="F78" s="95" t="s">
        <v>107</v>
      </c>
      <c r="G78" s="120"/>
      <c r="H78" s="121"/>
      <c r="I78" s="122"/>
    </row>
    <row r="79" spans="2:9" x14ac:dyDescent="0.2">
      <c r="B79" s="77"/>
      <c r="C79" s="78"/>
      <c r="D79" s="118" t="e">
        <f>D54</f>
        <v>#DIV/0!</v>
      </c>
      <c r="E79" s="118" t="e">
        <f>E54</f>
        <v>#DIV/0!</v>
      </c>
      <c r="F79" s="119" t="e">
        <f>F54</f>
        <v>#DIV/0!</v>
      </c>
      <c r="G79" s="123"/>
      <c r="H79" s="124"/>
      <c r="I79" s="125"/>
    </row>
    <row r="80" spans="2:9" x14ac:dyDescent="0.2">
      <c r="D80" s="66"/>
      <c r="E80" s="66"/>
      <c r="F80" s="66"/>
    </row>
    <row r="81" spans="2:9" x14ac:dyDescent="0.2">
      <c r="B81" s="229" t="s">
        <v>258</v>
      </c>
      <c r="C81" s="229"/>
      <c r="D81" s="229"/>
      <c r="E81" s="229"/>
      <c r="F81" s="229"/>
      <c r="G81" s="97"/>
      <c r="H81" s="97"/>
      <c r="I81" s="97"/>
    </row>
    <row r="82" spans="2:9" x14ac:dyDescent="0.2">
      <c r="B82" s="74" t="s">
        <v>143</v>
      </c>
      <c r="C82" s="75"/>
      <c r="D82" s="76" t="s">
        <v>10</v>
      </c>
      <c r="E82" s="76" t="s">
        <v>106</v>
      </c>
      <c r="F82" s="95" t="s">
        <v>107</v>
      </c>
      <c r="G82" s="120"/>
      <c r="H82" s="121"/>
      <c r="I82" s="122"/>
    </row>
    <row r="83" spans="2:9" x14ac:dyDescent="0.2">
      <c r="B83" s="80" t="s">
        <v>125</v>
      </c>
      <c r="C83" s="81"/>
      <c r="D83" s="82" t="e">
        <f xml:space="preserve"> ROUNDUP(IF((2.88 * $D$79)&gt;6, 2.88*$D$79,6),0)</f>
        <v>#DIV/0!</v>
      </c>
      <c r="E83" s="82" t="e">
        <f>ROUNDUP(IF((2.88 *$E$79)&gt;6, 2.88*$E$79,6),0)</f>
        <v>#DIV/0!</v>
      </c>
      <c r="F83" s="98" t="e">
        <f>ROUNDUP(IF((2.88 *$F$79)&gt;6, 2.88*$F$79,6),0)</f>
        <v>#DIV/0!</v>
      </c>
      <c r="G83" s="126"/>
      <c r="I83" s="127"/>
    </row>
    <row r="84" spans="2:9" x14ac:dyDescent="0.2">
      <c r="B84" s="80" t="s">
        <v>126</v>
      </c>
      <c r="C84" s="83"/>
      <c r="D84" s="82" t="e">
        <f>ROUNDUP(IF((1.2 * $D$79)&gt;4, 1.2*$D$79,4),0)</f>
        <v>#DIV/0!</v>
      </c>
      <c r="E84" s="82" t="e">
        <f>ROUNDUP(IF((1.2 *$E$79)&gt;4, 1.2*$E$79,4),0)</f>
        <v>#DIV/0!</v>
      </c>
      <c r="F84" s="98" t="e">
        <f xml:space="preserve"> ROUNDUP(IF((1.2 *$F$79)&gt;4, 1.2*$F$79,4),0)</f>
        <v>#DIV/0!</v>
      </c>
      <c r="G84" s="126"/>
      <c r="I84" s="127"/>
    </row>
    <row r="85" spans="2:9" x14ac:dyDescent="0.2">
      <c r="B85" s="80" t="s">
        <v>127</v>
      </c>
      <c r="C85" s="83"/>
      <c r="D85" s="82" t="e">
        <f>ROUNDUP(IF((1 * $D$79)&gt;4, 1*$D$79,4),0)</f>
        <v>#DIV/0!</v>
      </c>
      <c r="E85" s="82" t="e">
        <f>ROUNDUP(IF((1 *$E$79)&gt;4, 1*$E$79,4),0)</f>
        <v>#DIV/0!</v>
      </c>
      <c r="F85" s="98" t="e">
        <f xml:space="preserve"> ROUNDUP(IF((1 *$F$79)&gt;4, 1*$F$79,4),)</f>
        <v>#DIV/0!</v>
      </c>
      <c r="G85" s="126"/>
      <c r="I85" s="127"/>
    </row>
    <row r="86" spans="2:9" x14ac:dyDescent="0.2">
      <c r="B86" s="77" t="s">
        <v>128</v>
      </c>
      <c r="C86" s="78"/>
      <c r="D86" s="79" t="e">
        <f xml:space="preserve"> ROUNDUP(IF((0.72 * $D$79)&gt;4, 0.72*$D$79,4),0)</f>
        <v>#DIV/0!</v>
      </c>
      <c r="E86" s="79" t="e">
        <f>ROUNDUP( IF((0.72 *$E$79)&gt;4, 0.72*$E$79,4),0)</f>
        <v>#DIV/0!</v>
      </c>
      <c r="F86" s="96" t="e">
        <f xml:space="preserve"> ROUNDUP(IF((0.72 *$F$79)&gt;4, 0.72*$F$79,4),0)</f>
        <v>#DIV/0!</v>
      </c>
      <c r="G86" s="123"/>
      <c r="H86" s="124"/>
      <c r="I86" s="125"/>
    </row>
    <row r="87" spans="2:9" x14ac:dyDescent="0.2">
      <c r="C87" s="92"/>
      <c r="D87" s="93"/>
      <c r="E87" s="94"/>
      <c r="F87" s="93"/>
      <c r="G87" s="70"/>
      <c r="H87" s="71"/>
    </row>
    <row r="88" spans="2:9" x14ac:dyDescent="0.2">
      <c r="B88" s="229" t="s">
        <v>257</v>
      </c>
      <c r="C88" s="229"/>
      <c r="D88" s="229"/>
      <c r="E88" s="229"/>
      <c r="F88" s="229"/>
      <c r="G88" s="97"/>
      <c r="H88" s="97"/>
      <c r="I88" s="97"/>
    </row>
    <row r="89" spans="2:9" x14ac:dyDescent="0.2">
      <c r="B89" s="74" t="s">
        <v>140</v>
      </c>
      <c r="C89" s="75"/>
      <c r="D89" s="91" t="s">
        <v>10</v>
      </c>
      <c r="E89" s="91" t="s">
        <v>106</v>
      </c>
      <c r="F89" s="99" t="s">
        <v>107</v>
      </c>
      <c r="G89" s="120"/>
      <c r="H89" s="121"/>
      <c r="I89" s="122"/>
    </row>
    <row r="90" spans="2:9" x14ac:dyDescent="0.2">
      <c r="B90" s="84" t="s">
        <v>139</v>
      </c>
      <c r="C90" s="85"/>
      <c r="D90" s="86" t="e">
        <f>Calculator!Q18</f>
        <v>#DIV/0!</v>
      </c>
      <c r="E90" s="86" t="e">
        <f>Calculator!Q19</f>
        <v>#DIV/0!</v>
      </c>
      <c r="F90" s="100" t="e">
        <f>Calculator!Q20</f>
        <v>#DIV/0!</v>
      </c>
      <c r="G90" s="126"/>
      <c r="I90" s="127"/>
    </row>
    <row r="91" spans="2:9" ht="12" customHeight="1" x14ac:dyDescent="0.2">
      <c r="B91" s="80" t="s">
        <v>136</v>
      </c>
      <c r="C91" s="83"/>
      <c r="D91" s="116" t="e">
        <f>Calculator!R18</f>
        <v>#DIV/0!</v>
      </c>
      <c r="E91" s="116" t="e">
        <f>Calculator!R19</f>
        <v>#DIV/0!</v>
      </c>
      <c r="F91" s="117" t="e">
        <f>Calculator!R20</f>
        <v>#DIV/0!</v>
      </c>
      <c r="G91" s="126"/>
      <c r="I91" s="127"/>
    </row>
    <row r="92" spans="2:9" x14ac:dyDescent="0.2">
      <c r="B92" s="80" t="s">
        <v>135</v>
      </c>
      <c r="C92" s="83"/>
      <c r="D92" s="82" t="e">
        <f>Calculator!P18</f>
        <v>#DIV/0!</v>
      </c>
      <c r="E92" s="82" t="e">
        <f>Calculator!P19</f>
        <v>#DIV/0!</v>
      </c>
      <c r="F92" s="98" t="e">
        <f>Calculator!P20</f>
        <v>#DIV/0!</v>
      </c>
      <c r="G92" s="126"/>
      <c r="I92" s="127"/>
    </row>
    <row r="93" spans="2:9" x14ac:dyDescent="0.2">
      <c r="B93" s="80" t="s">
        <v>142</v>
      </c>
      <c r="C93" s="83"/>
      <c r="D93" s="82" t="e">
        <f>Calculator!S18</f>
        <v>#DIV/0!</v>
      </c>
      <c r="E93" s="82" t="e">
        <f>Calculator!S19</f>
        <v>#DIV/0!</v>
      </c>
      <c r="F93" s="98" t="e">
        <f>Calculator!S20</f>
        <v>#DIV/0!</v>
      </c>
      <c r="G93" s="126"/>
      <c r="I93" s="127"/>
    </row>
    <row r="94" spans="2:9" x14ac:dyDescent="0.2">
      <c r="B94" s="80"/>
      <c r="C94" s="83"/>
      <c r="D94" s="82"/>
      <c r="E94" s="82"/>
      <c r="F94" s="98"/>
      <c r="G94" s="126"/>
      <c r="I94" s="127"/>
    </row>
    <row r="95" spans="2:9" x14ac:dyDescent="0.2">
      <c r="B95" s="80" t="s">
        <v>141</v>
      </c>
      <c r="C95" s="83"/>
      <c r="D95" s="81" t="s">
        <v>10</v>
      </c>
      <c r="E95" s="81" t="s">
        <v>106</v>
      </c>
      <c r="F95" s="101" t="s">
        <v>107</v>
      </c>
      <c r="G95" s="126"/>
      <c r="I95" s="127"/>
    </row>
    <row r="96" spans="2:9" x14ac:dyDescent="0.2">
      <c r="B96" s="84" t="s">
        <v>139</v>
      </c>
      <c r="C96" s="85"/>
      <c r="D96" s="86" t="e">
        <f>Calculator!Q22</f>
        <v>#DIV/0!</v>
      </c>
      <c r="E96" s="86" t="e">
        <f>Calculator!Q23</f>
        <v>#DIV/0!</v>
      </c>
      <c r="F96" s="100" t="e">
        <f>Calculator!Q24</f>
        <v>#DIV/0!</v>
      </c>
      <c r="G96" s="126"/>
      <c r="I96" s="127"/>
    </row>
    <row r="97" spans="2:9" x14ac:dyDescent="0.2">
      <c r="B97" s="80" t="s">
        <v>136</v>
      </c>
      <c r="C97" s="83"/>
      <c r="D97" s="116" t="e">
        <f>Calculator!R22</f>
        <v>#DIV/0!</v>
      </c>
      <c r="E97" s="116" t="e">
        <f>Calculator!R23</f>
        <v>#DIV/0!</v>
      </c>
      <c r="F97" s="117" t="e">
        <f>Calculator!R24</f>
        <v>#DIV/0!</v>
      </c>
      <c r="G97" s="126"/>
      <c r="I97" s="127"/>
    </row>
    <row r="98" spans="2:9" x14ac:dyDescent="0.2">
      <c r="B98" s="80" t="s">
        <v>135</v>
      </c>
      <c r="C98" s="83"/>
      <c r="D98" s="82" t="e">
        <f>Calculator!P22</f>
        <v>#DIV/0!</v>
      </c>
      <c r="E98" s="82" t="e">
        <f>Calculator!P23</f>
        <v>#DIV/0!</v>
      </c>
      <c r="F98" s="98" t="e">
        <f>Calculator!P24</f>
        <v>#DIV/0!</v>
      </c>
      <c r="G98" s="126"/>
      <c r="I98" s="127"/>
    </row>
    <row r="99" spans="2:9" x14ac:dyDescent="0.2">
      <c r="B99" s="77" t="s">
        <v>142</v>
      </c>
      <c r="C99" s="78"/>
      <c r="D99" s="79" t="e">
        <f>Calculator!S22</f>
        <v>#DIV/0!</v>
      </c>
      <c r="E99" s="79" t="e">
        <f>Calculator!S23</f>
        <v>#DIV/0!</v>
      </c>
      <c r="F99" s="96" t="e">
        <f>Calculator!S24</f>
        <v>#DIV/0!</v>
      </c>
      <c r="G99" s="123"/>
      <c r="H99" s="124"/>
      <c r="I99" s="125"/>
    </row>
    <row r="100" spans="2:9" x14ac:dyDescent="0.2">
      <c r="D100" s="70"/>
      <c r="E100" s="70"/>
      <c r="F100" s="70"/>
    </row>
    <row r="101" spans="2:9" x14ac:dyDescent="0.2">
      <c r="B101" s="229" t="s">
        <v>318</v>
      </c>
      <c r="C101" s="229"/>
      <c r="D101" s="229"/>
      <c r="E101" s="229"/>
      <c r="F101" s="229"/>
      <c r="G101" s="97"/>
      <c r="H101" s="97"/>
      <c r="I101" s="97"/>
    </row>
    <row r="102" spans="2:9" x14ac:dyDescent="0.2">
      <c r="B102" s="74"/>
      <c r="C102" s="75"/>
      <c r="D102" s="76" t="s">
        <v>10</v>
      </c>
      <c r="E102" s="76" t="s">
        <v>106</v>
      </c>
      <c r="F102" s="95" t="s">
        <v>107</v>
      </c>
      <c r="G102" s="120"/>
      <c r="H102" s="121"/>
      <c r="I102" s="122"/>
    </row>
    <row r="103" spans="2:9" x14ac:dyDescent="0.2">
      <c r="B103" s="84" t="s">
        <v>137</v>
      </c>
      <c r="C103" s="85"/>
      <c r="D103" s="87">
        <f>Calculator!F29</f>
        <v>-3</v>
      </c>
      <c r="E103" s="87">
        <f>Calculator!F30</f>
        <v>-3</v>
      </c>
      <c r="F103" s="102">
        <f>Calculator!F31</f>
        <v>-3</v>
      </c>
      <c r="G103" s="126"/>
      <c r="I103" s="127"/>
    </row>
    <row r="104" spans="2:9" ht="15" x14ac:dyDescent="0.2">
      <c r="B104" s="77" t="s">
        <v>160</v>
      </c>
      <c r="C104" s="83"/>
      <c r="D104" s="223" t="e">
        <f>D53</f>
        <v>#DIV/0!</v>
      </c>
      <c r="E104" s="223" t="e">
        <f>E53</f>
        <v>#DIV/0!</v>
      </c>
      <c r="F104" s="223" t="e">
        <f>F53</f>
        <v>#DIV/0!</v>
      </c>
      <c r="G104" s="126"/>
      <c r="I104" s="127"/>
    </row>
    <row r="105" spans="2:9" x14ac:dyDescent="0.2">
      <c r="B105" s="72" t="s">
        <v>138</v>
      </c>
      <c r="C105" s="83"/>
      <c r="D105" s="81"/>
      <c r="E105" s="81"/>
      <c r="F105" s="101"/>
      <c r="G105" s="126"/>
      <c r="I105" s="127"/>
    </row>
    <row r="106" spans="2:9" x14ac:dyDescent="0.2">
      <c r="B106" s="73" t="s">
        <v>171</v>
      </c>
      <c r="C106" s="83"/>
      <c r="D106" s="81"/>
      <c r="E106" s="81"/>
      <c r="F106" s="98"/>
      <c r="G106" s="126"/>
      <c r="H106" s="71"/>
      <c r="I106" s="127"/>
    </row>
    <row r="107" spans="2:9" x14ac:dyDescent="0.2">
      <c r="B107" s="232" t="e">
        <f>IF(D104&gt;D103, " ","Additional mechanical restraint required in zones exceeding allowed maximum. Peelstop bars spaced at 1000mm, fixed either every crown(metal deck) or every 265mm (timber and concrete decks) and covered with coverstrap")</f>
        <v>#DIV/0!</v>
      </c>
      <c r="C107" s="233"/>
      <c r="D107" s="233"/>
      <c r="E107" s="233"/>
      <c r="F107" s="234"/>
      <c r="G107" s="136"/>
      <c r="H107" s="54"/>
      <c r="I107" s="137"/>
    </row>
    <row r="108" spans="2:9" x14ac:dyDescent="0.2">
      <c r="B108" s="232"/>
      <c r="C108" s="233"/>
      <c r="D108" s="233"/>
      <c r="E108" s="233"/>
      <c r="F108" s="234"/>
      <c r="G108" s="136"/>
      <c r="H108" s="54"/>
      <c r="I108" s="137"/>
    </row>
    <row r="109" spans="2:9" x14ac:dyDescent="0.2">
      <c r="B109" s="235"/>
      <c r="C109" s="236"/>
      <c r="D109" s="236"/>
      <c r="E109" s="236"/>
      <c r="F109" s="237"/>
      <c r="G109" s="138"/>
      <c r="H109" s="139"/>
      <c r="I109" s="140"/>
    </row>
    <row r="111" spans="2:9" x14ac:dyDescent="0.2">
      <c r="B111" s="229" t="s">
        <v>336</v>
      </c>
      <c r="C111" s="229"/>
      <c r="D111" s="229"/>
      <c r="E111" s="229"/>
      <c r="F111" s="229"/>
      <c r="G111" s="97"/>
      <c r="H111" s="97"/>
      <c r="I111" s="97"/>
    </row>
    <row r="112" spans="2:9" x14ac:dyDescent="0.2">
      <c r="B112" s="134"/>
      <c r="C112" s="135"/>
      <c r="D112" s="76" t="s">
        <v>10</v>
      </c>
      <c r="E112" s="76" t="s">
        <v>106</v>
      </c>
      <c r="F112" s="95" t="s">
        <v>107</v>
      </c>
      <c r="G112" s="120"/>
      <c r="H112" s="121"/>
      <c r="I112" s="122"/>
    </row>
    <row r="113" spans="2:9" x14ac:dyDescent="0.2">
      <c r="B113" s="80" t="s">
        <v>170</v>
      </c>
      <c r="C113" s="83"/>
      <c r="D113" s="86" t="e">
        <f>IF((D104*-100)&lt;80, 80,D104*-100)</f>
        <v>#DIV/0!</v>
      </c>
      <c r="E113" s="86" t="e">
        <f>IF((E104*-100)&lt;80, 80,E104*-100)</f>
        <v>#DIV/0!</v>
      </c>
      <c r="F113" s="100" t="e">
        <f>IF((F104*-100)&lt;80, 80,F104*-100)</f>
        <v>#DIV/0!</v>
      </c>
      <c r="G113" s="126"/>
      <c r="I113" s="127"/>
    </row>
    <row r="114" spans="2:9" x14ac:dyDescent="0.2">
      <c r="B114" s="80"/>
      <c r="C114" s="83"/>
      <c r="D114" s="128"/>
      <c r="E114" s="129"/>
      <c r="F114" s="130"/>
      <c r="G114" s="126"/>
      <c r="I114" s="127"/>
    </row>
    <row r="115" spans="2:9" x14ac:dyDescent="0.2">
      <c r="B115" s="80"/>
      <c r="C115" s="83"/>
      <c r="D115" s="128"/>
      <c r="E115" s="129"/>
      <c r="F115" s="130"/>
      <c r="G115" s="126"/>
      <c r="I115" s="127"/>
    </row>
    <row r="116" spans="2:9" x14ac:dyDescent="0.2">
      <c r="B116" s="77"/>
      <c r="C116" s="78"/>
      <c r="D116" s="131"/>
      <c r="E116" s="132"/>
      <c r="F116" s="133"/>
      <c r="G116" s="123"/>
      <c r="H116" s="124"/>
      <c r="I116" s="125"/>
    </row>
  </sheetData>
  <mergeCells count="10">
    <mergeCell ref="B111:F111"/>
    <mergeCell ref="B101:F101"/>
    <mergeCell ref="J4:Q12"/>
    <mergeCell ref="J20:Q20"/>
    <mergeCell ref="B11:I12"/>
    <mergeCell ref="B88:F88"/>
    <mergeCell ref="B81:F81"/>
    <mergeCell ref="B77:F77"/>
    <mergeCell ref="B107:F109"/>
    <mergeCell ref="C13:E13"/>
  </mergeCells>
  <phoneticPr fontId="0" type="noConversion"/>
  <conditionalFormatting sqref="D104">
    <cfRule type="cellIs" dxfId="63" priority="3" operator="greaterThan">
      <formula>$D$103</formula>
    </cfRule>
    <cfRule type="cellIs" dxfId="62" priority="6" operator="lessThan">
      <formula>$D$103</formula>
    </cfRule>
  </conditionalFormatting>
  <conditionalFormatting sqref="E104">
    <cfRule type="cellIs" dxfId="61" priority="2" operator="greaterThan">
      <formula>$E$103</formula>
    </cfRule>
    <cfRule type="cellIs" dxfId="60" priority="5" operator="lessThan">
      <formula>$E$103</formula>
    </cfRule>
  </conditionalFormatting>
  <conditionalFormatting sqref="F104">
    <cfRule type="cellIs" dxfId="59" priority="1" operator="greaterThan">
      <formula>$F$103</formula>
    </cfRule>
    <cfRule type="cellIs" priority="4" operator="lessThan">
      <formula>$F$103</formula>
    </cfRule>
  </conditionalFormatting>
  <pageMargins left="0.23622047244094491" right="0.23622047244094491" top="0" bottom="0" header="0" footer="0"/>
  <pageSetup paperSize="9" orientation="portrait" r:id="rId1"/>
  <headerFooter alignWithMargins="0"/>
  <rowBreaks count="1" manualBreakCount="1">
    <brk id="57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P111"/>
  <sheetViews>
    <sheetView showZeros="0" showOutlineSymbols="0" topLeftCell="A38" zoomScaleNormal="100" workbookViewId="0">
      <selection activeCell="A14" sqref="A14"/>
    </sheetView>
  </sheetViews>
  <sheetFormatPr defaultRowHeight="12.75" x14ac:dyDescent="0.2"/>
  <cols>
    <col min="1" max="1" width="3.5703125" style="15" customWidth="1"/>
    <col min="2" max="2" width="19.42578125" style="12" customWidth="1"/>
    <col min="3" max="3" width="17.85546875" style="12" customWidth="1"/>
    <col min="4" max="4" width="7.7109375" style="13" customWidth="1"/>
    <col min="5" max="9" width="7.7109375" style="15" customWidth="1"/>
    <col min="10" max="10" width="15" style="15" customWidth="1"/>
    <col min="11" max="11" width="3.42578125" style="15" customWidth="1"/>
    <col min="12" max="16384" width="9.140625" style="15"/>
  </cols>
  <sheetData>
    <row r="1" spans="1:9" x14ac:dyDescent="0.2">
      <c r="A1" s="53"/>
      <c r="B1" s="230" t="str">
        <f>"Project:  " &amp; 'New Input'!C4</f>
        <v xml:space="preserve">Project:  </v>
      </c>
      <c r="C1" s="231"/>
      <c r="D1" s="231"/>
      <c r="E1" s="231"/>
      <c r="F1" s="231"/>
      <c r="G1" s="231"/>
      <c r="H1" s="231"/>
      <c r="I1" s="231"/>
    </row>
    <row r="2" spans="1:9" x14ac:dyDescent="0.2">
      <c r="A2" s="53"/>
      <c r="B2" s="231"/>
      <c r="C2" s="231"/>
      <c r="D2" s="231"/>
      <c r="E2" s="231"/>
      <c r="F2" s="231"/>
      <c r="G2" s="231"/>
      <c r="H2" s="231"/>
      <c r="I2" s="231"/>
    </row>
    <row r="3" spans="1:9" x14ac:dyDescent="0.2">
      <c r="A3" s="53"/>
      <c r="B3" s="67" t="s">
        <v>162</v>
      </c>
      <c r="C3" s="238" t="str">
        <f>Calculator!T2&amp;'New Input'!C2&amp;"-"&amp;'New Input'!C4</f>
        <v>WUC-SP-00-</v>
      </c>
      <c r="D3" s="238"/>
      <c r="E3" s="238"/>
      <c r="F3" s="103"/>
      <c r="G3" s="103"/>
      <c r="H3" s="103"/>
      <c r="I3" s="103"/>
    </row>
    <row r="4" spans="1:9" x14ac:dyDescent="0.2">
      <c r="A4" s="53"/>
      <c r="B4" s="68" t="s">
        <v>163</v>
      </c>
      <c r="C4" s="141" t="str">
        <f>UPPER('New Input'!C8)</f>
        <v/>
      </c>
      <c r="D4" s="103"/>
      <c r="E4" s="103"/>
      <c r="F4" s="103"/>
      <c r="G4" s="103"/>
      <c r="H4" s="103"/>
      <c r="I4" s="103"/>
    </row>
    <row r="5" spans="1:9" x14ac:dyDescent="0.2">
      <c r="A5" s="53"/>
      <c r="B5" s="68" t="s">
        <v>164</v>
      </c>
      <c r="C5" s="89">
        <f>calculation!B12</f>
        <v>0</v>
      </c>
      <c r="D5" s="103"/>
      <c r="E5" s="103"/>
      <c r="F5" s="103"/>
      <c r="G5" s="103"/>
      <c r="H5" s="103"/>
      <c r="I5" s="103"/>
    </row>
    <row r="6" spans="1:9" x14ac:dyDescent="0.2">
      <c r="A6" s="53"/>
      <c r="B6" s="68" t="s">
        <v>165</v>
      </c>
      <c r="C6" s="89">
        <f>calculation!B13</f>
        <v>0</v>
      </c>
      <c r="D6" s="103"/>
      <c r="E6" s="103"/>
      <c r="F6" s="103"/>
      <c r="G6" s="103"/>
      <c r="H6" s="103"/>
      <c r="I6" s="103"/>
    </row>
    <row r="7" spans="1:9" x14ac:dyDescent="0.2">
      <c r="A7" s="53"/>
      <c r="B7" s="68" t="s">
        <v>166</v>
      </c>
      <c r="C7" s="89">
        <f>calculation!B14</f>
        <v>0</v>
      </c>
      <c r="D7" s="103"/>
      <c r="E7" s="103"/>
      <c r="F7" s="103"/>
      <c r="G7" s="103"/>
      <c r="H7" s="103"/>
      <c r="I7" s="103"/>
    </row>
    <row r="8" spans="1:9" x14ac:dyDescent="0.2">
      <c r="A8" s="53"/>
      <c r="B8" s="103" t="s">
        <v>263</v>
      </c>
      <c r="C8" s="88">
        <f>calculation!B36</f>
        <v>5</v>
      </c>
      <c r="D8" s="103"/>
      <c r="E8" s="103"/>
      <c r="F8" s="103"/>
      <c r="G8" s="103"/>
      <c r="H8" s="103"/>
      <c r="I8" s="103"/>
    </row>
    <row r="9" spans="1:9" x14ac:dyDescent="0.2">
      <c r="A9" s="53"/>
      <c r="B9" s="103" t="s">
        <v>120</v>
      </c>
      <c r="C9" s="88" t="str">
        <f>'New Input'!C19</f>
        <v>Timber</v>
      </c>
      <c r="D9" s="103"/>
      <c r="E9" s="103"/>
      <c r="F9" s="103"/>
      <c r="G9" s="103"/>
      <c r="H9" s="103"/>
      <c r="I9" s="103"/>
    </row>
    <row r="10" spans="1:9" x14ac:dyDescent="0.2">
      <c r="A10" s="53"/>
      <c r="B10" s="103" t="s">
        <v>253</v>
      </c>
      <c r="C10" s="103">
        <f>'New Input'!C26</f>
        <v>1.35</v>
      </c>
      <c r="D10" s="103"/>
      <c r="E10" s="103"/>
      <c r="F10" s="103"/>
      <c r="G10" s="103"/>
      <c r="H10" s="103"/>
      <c r="I10" s="103"/>
    </row>
    <row r="16" spans="1:9" x14ac:dyDescent="0.2">
      <c r="B16" s="51" t="s">
        <v>25</v>
      </c>
      <c r="C16" s="55"/>
      <c r="D16" s="52"/>
      <c r="E16" s="53"/>
      <c r="F16" s="53"/>
      <c r="G16" s="53"/>
      <c r="H16" s="53"/>
      <c r="I16" s="53"/>
    </row>
    <row r="17" spans="2:16" x14ac:dyDescent="0.2">
      <c r="B17" s="240" t="s">
        <v>85</v>
      </c>
      <c r="C17" s="240"/>
      <c r="D17" s="241"/>
      <c r="E17" s="241"/>
      <c r="F17" s="241"/>
      <c r="G17" s="241"/>
      <c r="H17" s="241"/>
      <c r="I17" s="241"/>
    </row>
    <row r="18" spans="2:16" x14ac:dyDescent="0.2">
      <c r="B18" s="241"/>
      <c r="C18" s="241"/>
      <c r="D18" s="241"/>
      <c r="E18" s="241"/>
      <c r="F18" s="241"/>
      <c r="G18" s="241"/>
      <c r="H18" s="241"/>
      <c r="I18" s="241"/>
      <c r="K18" s="7"/>
      <c r="L18" s="7"/>
      <c r="M18" s="7"/>
      <c r="N18" s="7"/>
      <c r="O18" s="7"/>
      <c r="P18" s="7"/>
    </row>
    <row r="19" spans="2:16" x14ac:dyDescent="0.2">
      <c r="B19" s="51" t="s">
        <v>86</v>
      </c>
      <c r="C19" s="53"/>
      <c r="D19" s="56"/>
      <c r="E19" s="57"/>
      <c r="F19" s="57"/>
      <c r="G19" s="57"/>
      <c r="H19" s="57"/>
      <c r="I19" s="57"/>
      <c r="K19" s="19"/>
      <c r="L19" s="19"/>
      <c r="M19" s="19"/>
      <c r="N19" s="19"/>
      <c r="O19" s="19"/>
      <c r="P19" s="19"/>
    </row>
    <row r="20" spans="2:16" ht="14.25" x14ac:dyDescent="0.25">
      <c r="B20" s="55" t="s">
        <v>144</v>
      </c>
      <c r="C20" s="55"/>
      <c r="D20" s="61">
        <f>calculation!B6</f>
        <v>25.227773555263081</v>
      </c>
      <c r="E20" s="59" t="s">
        <v>2</v>
      </c>
      <c r="F20" s="60"/>
      <c r="G20" s="60"/>
      <c r="H20" s="60"/>
      <c r="I20" s="60"/>
      <c r="K20" s="19"/>
      <c r="L20" s="19"/>
      <c r="M20" s="19"/>
      <c r="N20" s="19"/>
      <c r="O20" s="19"/>
      <c r="P20" s="19"/>
    </row>
    <row r="21" spans="2:16" ht="14.25" x14ac:dyDescent="0.25">
      <c r="B21" s="53" t="s">
        <v>145</v>
      </c>
      <c r="C21" s="55"/>
      <c r="D21" s="61">
        <f>calculation!B1</f>
        <v>21.982137614639999</v>
      </c>
      <c r="E21" s="59" t="s">
        <v>2</v>
      </c>
      <c r="F21" s="60"/>
      <c r="G21" s="60"/>
      <c r="H21" s="60"/>
      <c r="I21" s="60"/>
    </row>
    <row r="22" spans="2:16" ht="14.25" x14ac:dyDescent="0.25">
      <c r="B22" s="53" t="s">
        <v>146</v>
      </c>
      <c r="C22" s="55"/>
      <c r="D22" s="61">
        <f>calculation!B2</f>
        <v>1.1469992949511201</v>
      </c>
      <c r="E22" s="55" t="str">
        <f>IF(Input!F7="",calculation!I2,calculation!I3)</f>
        <v>Site Altitude  163m</v>
      </c>
      <c r="F22" s="53"/>
      <c r="G22" s="60"/>
      <c r="H22" s="60"/>
      <c r="I22" s="60"/>
    </row>
    <row r="23" spans="2:16" ht="14.25" x14ac:dyDescent="0.25">
      <c r="B23" s="53" t="s">
        <v>147</v>
      </c>
      <c r="C23" s="55"/>
      <c r="D23" s="61">
        <f>calculation!B3</f>
        <v>1</v>
      </c>
      <c r="E23" s="51"/>
      <c r="F23" s="53"/>
      <c r="G23" s="53"/>
      <c r="H23" s="53"/>
      <c r="I23" s="53"/>
    </row>
    <row r="24" spans="2:16" ht="14.25" x14ac:dyDescent="0.25">
      <c r="B24" s="53" t="s">
        <v>148</v>
      </c>
      <c r="C24" s="55"/>
      <c r="D24" s="61">
        <f>calculation!B4</f>
        <v>1</v>
      </c>
      <c r="E24" s="55"/>
      <c r="F24" s="53"/>
      <c r="G24" s="53"/>
      <c r="H24" s="53"/>
      <c r="I24" s="53"/>
      <c r="K24" s="7"/>
      <c r="L24" s="7"/>
      <c r="M24" s="7"/>
      <c r="N24" s="7"/>
      <c r="O24" s="7"/>
      <c r="P24" s="7"/>
    </row>
    <row r="25" spans="2:16" ht="14.25" x14ac:dyDescent="0.25">
      <c r="B25" s="53" t="s">
        <v>149</v>
      </c>
      <c r="C25" s="55"/>
      <c r="D25" s="61">
        <f>calculation!B5</f>
        <v>1.0005662526750301</v>
      </c>
      <c r="E25" s="55"/>
      <c r="F25" s="53"/>
      <c r="G25" s="53"/>
      <c r="H25" s="53"/>
      <c r="I25" s="53"/>
      <c r="K25" s="19"/>
      <c r="L25" s="19"/>
      <c r="M25" s="19"/>
      <c r="N25" s="19"/>
      <c r="O25" s="19"/>
      <c r="P25" s="19"/>
    </row>
    <row r="26" spans="2:16" x14ac:dyDescent="0.2">
      <c r="B26" s="51" t="s">
        <v>93</v>
      </c>
      <c r="C26" s="51"/>
      <c r="D26" s="61"/>
      <c r="E26" s="59"/>
      <c r="F26" s="60"/>
      <c r="G26" s="60"/>
      <c r="H26" s="60"/>
      <c r="I26" s="60"/>
      <c r="K26" s="19"/>
      <c r="L26" s="19"/>
      <c r="M26" s="19"/>
      <c r="N26" s="19"/>
      <c r="O26" s="19"/>
      <c r="P26" s="19"/>
    </row>
    <row r="27" spans="2:16" ht="15.75" x14ac:dyDescent="0.25">
      <c r="B27" s="55" t="s">
        <v>150</v>
      </c>
      <c r="C27" s="55"/>
      <c r="D27" s="61">
        <f>calculation!B7</f>
        <v>0.39013806239460197</v>
      </c>
      <c r="E27" s="62" t="s">
        <v>151</v>
      </c>
      <c r="F27" s="60"/>
      <c r="G27" s="60"/>
      <c r="H27" s="60"/>
      <c r="I27" s="60"/>
      <c r="K27" s="19"/>
      <c r="L27" s="19"/>
      <c r="M27" s="19"/>
      <c r="N27" s="19"/>
      <c r="O27" s="19"/>
      <c r="P27" s="19"/>
    </row>
    <row r="28" spans="2:16" ht="14.25" x14ac:dyDescent="0.25">
      <c r="B28" s="53" t="s">
        <v>260</v>
      </c>
      <c r="C28" s="53"/>
      <c r="D28" s="63">
        <f>calculation!B8</f>
        <v>1.0695273515116701</v>
      </c>
      <c r="E28" s="53"/>
      <c r="F28" s="59"/>
      <c r="G28" s="60"/>
      <c r="H28" s="52"/>
      <c r="I28" s="59"/>
    </row>
    <row r="29" spans="2:16" ht="14.25" x14ac:dyDescent="0.25">
      <c r="B29" s="53" t="s">
        <v>153</v>
      </c>
      <c r="C29" s="53"/>
      <c r="D29" s="63">
        <f>calculation!B9</f>
        <v>2.7791999999999999</v>
      </c>
      <c r="E29" s="53"/>
      <c r="F29" s="59"/>
      <c r="G29" s="60"/>
      <c r="H29" s="52"/>
      <c r="I29" s="59"/>
      <c r="K29" s="7"/>
      <c r="L29" s="7"/>
      <c r="M29" s="7"/>
      <c r="N29" s="7"/>
      <c r="O29" s="7"/>
      <c r="P29" s="7"/>
    </row>
    <row r="30" spans="2:16" ht="14.25" x14ac:dyDescent="0.25">
      <c r="B30" s="53" t="s">
        <v>154</v>
      </c>
      <c r="C30" s="55"/>
      <c r="D30" s="63">
        <f>calculation!B10</f>
        <v>1</v>
      </c>
      <c r="E30" s="55"/>
      <c r="F30" s="53"/>
      <c r="G30" s="60"/>
      <c r="H30" s="60"/>
      <c r="I30" s="60"/>
      <c r="K30" s="7"/>
      <c r="L30" s="7"/>
      <c r="M30" s="7"/>
      <c r="N30" s="7"/>
      <c r="O30" s="7"/>
      <c r="P30" s="7"/>
    </row>
    <row r="31" spans="2:16" x14ac:dyDescent="0.2">
      <c r="B31" s="51" t="s">
        <v>95</v>
      </c>
      <c r="C31" s="51"/>
      <c r="D31" s="61"/>
      <c r="E31" s="55"/>
      <c r="F31" s="60"/>
      <c r="G31" s="60"/>
      <c r="H31" s="60"/>
      <c r="I31" s="60"/>
      <c r="K31" s="7"/>
      <c r="L31" s="7"/>
      <c r="M31" s="7"/>
      <c r="N31" s="7"/>
      <c r="O31" s="7"/>
      <c r="P31" s="7"/>
    </row>
    <row r="32" spans="2:16" ht="15" x14ac:dyDescent="0.25">
      <c r="B32" s="55" t="s">
        <v>155</v>
      </c>
      <c r="C32" s="55"/>
      <c r="D32" s="64">
        <f>calculation!B11</f>
        <v>1.18</v>
      </c>
      <c r="E32" s="62" t="s">
        <v>151</v>
      </c>
      <c r="F32" s="60"/>
      <c r="G32" s="60"/>
      <c r="H32" s="60"/>
      <c r="I32" s="60"/>
      <c r="K32" s="7"/>
      <c r="L32" s="7"/>
      <c r="M32" s="7"/>
      <c r="N32" s="7"/>
      <c r="O32" s="7"/>
      <c r="P32" s="7"/>
    </row>
    <row r="33" spans="2:16" x14ac:dyDescent="0.2">
      <c r="B33" s="51" t="s">
        <v>26</v>
      </c>
      <c r="C33" s="51"/>
      <c r="D33" s="52"/>
      <c r="E33" s="53"/>
      <c r="F33" s="53"/>
      <c r="G33" s="53"/>
      <c r="H33" s="53"/>
      <c r="I33" s="53"/>
      <c r="K33" s="19"/>
      <c r="L33" s="19"/>
      <c r="M33" s="19"/>
      <c r="N33" s="19"/>
      <c r="O33" s="19"/>
      <c r="P33" s="19"/>
    </row>
    <row r="34" spans="2:16" ht="15" x14ac:dyDescent="0.2">
      <c r="B34" s="55" t="s">
        <v>35</v>
      </c>
      <c r="C34" s="55"/>
      <c r="D34" s="52" t="str">
        <f>"Pitch  " &amp;calculation!B48</f>
        <v>Pitch  5</v>
      </c>
      <c r="E34" s="65" t="s">
        <v>30</v>
      </c>
      <c r="F34" s="53"/>
      <c r="G34" s="52"/>
      <c r="H34" s="53"/>
      <c r="I34" s="53"/>
      <c r="K34" s="19"/>
      <c r="L34" s="19"/>
      <c r="M34" s="19"/>
      <c r="N34" s="19"/>
      <c r="O34" s="19"/>
      <c r="P34" s="19"/>
    </row>
    <row r="35" spans="2:16" x14ac:dyDescent="0.2">
      <c r="B35" s="55" t="s">
        <v>27</v>
      </c>
      <c r="C35" s="55"/>
      <c r="D35" s="66" t="s">
        <v>10</v>
      </c>
      <c r="E35" s="66" t="s">
        <v>106</v>
      </c>
      <c r="F35" s="66" t="s">
        <v>107</v>
      </c>
      <c r="G35" s="66" t="s">
        <v>108</v>
      </c>
      <c r="H35" s="66" t="s">
        <v>109</v>
      </c>
      <c r="I35" s="66" t="s">
        <v>110</v>
      </c>
    </row>
    <row r="36" spans="2:16" ht="14.25" x14ac:dyDescent="0.25">
      <c r="B36" s="55" t="s">
        <v>156</v>
      </c>
      <c r="C36" s="55"/>
      <c r="D36" s="60">
        <f t="shared" ref="D36:G36" si="0">$D$32*D37</f>
        <v>-2.4779999999999998</v>
      </c>
      <c r="E36" s="60">
        <f t="shared" si="0"/>
        <v>-1.4159999999999999</v>
      </c>
      <c r="F36" s="60">
        <f t="shared" si="0"/>
        <v>-0.94399999999999995</v>
      </c>
      <c r="G36" s="60">
        <f t="shared" si="0"/>
        <v>-1.298</v>
      </c>
      <c r="H36" s="60">
        <f>$D$32*H37</f>
        <v>-2.8319999999999999</v>
      </c>
      <c r="I36" s="60">
        <f>$D$32*I37</f>
        <v>-1.298</v>
      </c>
    </row>
    <row r="37" spans="2:16" ht="14.25" x14ac:dyDescent="0.25">
      <c r="B37" s="55" t="s">
        <v>157</v>
      </c>
      <c r="C37" s="55"/>
      <c r="D37" s="66">
        <f>calculation!C36</f>
        <v>-2.1</v>
      </c>
      <c r="E37" s="66">
        <f>calculation!D36</f>
        <v>-1.2</v>
      </c>
      <c r="F37" s="66">
        <f>calculation!E36</f>
        <v>-0.8</v>
      </c>
      <c r="G37" s="66">
        <f>calculation!F36</f>
        <v>-1.1000000000000001</v>
      </c>
      <c r="H37" s="66">
        <f>calculation!G36</f>
        <v>-2.4</v>
      </c>
      <c r="I37" s="66">
        <f>calculation!H36</f>
        <v>-1.1000000000000001</v>
      </c>
    </row>
    <row r="38" spans="2:16" x14ac:dyDescent="0.2">
      <c r="B38" s="55" t="s">
        <v>28</v>
      </c>
      <c r="C38" s="55"/>
      <c r="D38" s="66"/>
      <c r="E38" s="66"/>
      <c r="F38" s="66"/>
      <c r="G38" s="66"/>
      <c r="H38" s="66"/>
      <c r="I38" s="66"/>
    </row>
    <row r="39" spans="2:16" ht="14.25" x14ac:dyDescent="0.25">
      <c r="B39" s="55" t="s">
        <v>158</v>
      </c>
      <c r="C39" s="55"/>
      <c r="D39" s="60">
        <f t="shared" ref="D39:G39" si="1">$D$32*D40</f>
        <v>0.23599999999999999</v>
      </c>
      <c r="E39" s="60">
        <f t="shared" si="1"/>
        <v>0.23599999999999999</v>
      </c>
      <c r="F39" s="60">
        <f t="shared" si="1"/>
        <v>0.23599999999999999</v>
      </c>
      <c r="G39" s="60">
        <f t="shared" si="1"/>
        <v>0.23599999999999999</v>
      </c>
      <c r="H39" s="60">
        <f>$D$32*H40</f>
        <v>0.23599999999999999</v>
      </c>
      <c r="I39" s="60">
        <f>$D$32*I40</f>
        <v>0.23599999999999999</v>
      </c>
    </row>
    <row r="40" spans="2:16" ht="14.25" x14ac:dyDescent="0.25">
      <c r="B40" s="55" t="s">
        <v>159</v>
      </c>
      <c r="C40" s="55"/>
      <c r="D40" s="66">
        <f>calculation!$C$20</f>
        <v>0.2</v>
      </c>
      <c r="E40" s="66">
        <f>calculation!$C$20</f>
        <v>0.2</v>
      </c>
      <c r="F40" s="66">
        <f>calculation!$C$20</f>
        <v>0.2</v>
      </c>
      <c r="G40" s="66">
        <f>calculation!$C$20</f>
        <v>0.2</v>
      </c>
      <c r="H40" s="66">
        <f>calculation!$C$20</f>
        <v>0.2</v>
      </c>
      <c r="I40" s="66">
        <f>calculation!$C$20</f>
        <v>0.2</v>
      </c>
    </row>
    <row r="41" spans="2:16" ht="15" x14ac:dyDescent="0.2">
      <c r="B41" s="55" t="s">
        <v>160</v>
      </c>
      <c r="C41" s="55"/>
      <c r="D41" s="60">
        <f t="shared" ref="D41:I41" si="2">(D36-D39)</f>
        <v>-2.7139999999999995</v>
      </c>
      <c r="E41" s="60">
        <f t="shared" si="2"/>
        <v>-1.6519999999999999</v>
      </c>
      <c r="F41" s="60">
        <f t="shared" si="2"/>
        <v>-1.18</v>
      </c>
      <c r="G41" s="60">
        <f t="shared" si="2"/>
        <v>-1.534</v>
      </c>
      <c r="H41" s="60">
        <f t="shared" si="2"/>
        <v>-3.0679999999999996</v>
      </c>
      <c r="I41" s="60">
        <f t="shared" si="2"/>
        <v>-1.534</v>
      </c>
    </row>
    <row r="42" spans="2:16" x14ac:dyDescent="0.2">
      <c r="B42" s="55" t="s">
        <v>129</v>
      </c>
      <c r="C42" s="55"/>
      <c r="D42" s="66">
        <f>'New Input'!$C$26</f>
        <v>1.35</v>
      </c>
      <c r="E42" s="66">
        <f>'New Input'!$C$26</f>
        <v>1.35</v>
      </c>
      <c r="F42" s="66">
        <f>'New Input'!$C$26</f>
        <v>1.35</v>
      </c>
      <c r="G42" s="66">
        <f>'New Input'!$C$26</f>
        <v>1.35</v>
      </c>
      <c r="H42" s="66">
        <f>'New Input'!$C$26</f>
        <v>1.35</v>
      </c>
      <c r="I42" s="66">
        <f>'New Input'!$C$26</f>
        <v>1.35</v>
      </c>
    </row>
    <row r="43" spans="2:16" ht="15.75" x14ac:dyDescent="0.25">
      <c r="B43" s="55" t="s">
        <v>160</v>
      </c>
      <c r="C43" s="55" t="s">
        <v>262</v>
      </c>
      <c r="D43" s="60">
        <f>D41*D42</f>
        <v>-3.6638999999999995</v>
      </c>
      <c r="E43" s="60">
        <f t="shared" ref="E43:I43" si="3">E41*E42</f>
        <v>-2.2302</v>
      </c>
      <c r="F43" s="60">
        <f t="shared" si="3"/>
        <v>-1.593</v>
      </c>
      <c r="G43" s="60">
        <f t="shared" si="3"/>
        <v>-2.0709</v>
      </c>
      <c r="H43" s="60">
        <f t="shared" si="3"/>
        <v>-4.1417999999999999</v>
      </c>
      <c r="I43" s="60">
        <f t="shared" si="3"/>
        <v>-2.0709</v>
      </c>
    </row>
    <row r="44" spans="2:16" ht="15" x14ac:dyDescent="0.2">
      <c r="B44" s="55" t="s">
        <v>261</v>
      </c>
      <c r="C44" s="55"/>
      <c r="D44" s="60">
        <f>(-D41/'New Input'!$C$27)</f>
        <v>5.8115631691648808</v>
      </c>
      <c r="E44" s="60">
        <f>(-E41/'New Input'!$C$27)</f>
        <v>3.5374732334047105</v>
      </c>
      <c r="F44" s="60">
        <f>(-F41/'New Input'!$C$27)</f>
        <v>2.5267665952890788</v>
      </c>
      <c r="G44" s="60">
        <f>(-G41/'New Input'!$C$27)</f>
        <v>3.2847965738758029</v>
      </c>
      <c r="H44" s="60">
        <f>(-H41/'New Input'!$C$27)</f>
        <v>6.569593147751605</v>
      </c>
      <c r="I44" s="60">
        <f>(-I41/'New Input'!$C$27)</f>
        <v>3.2847965738758029</v>
      </c>
    </row>
    <row r="45" spans="2:16" x14ac:dyDescent="0.2">
      <c r="B45" s="55"/>
      <c r="C45" s="55"/>
      <c r="D45" s="66"/>
      <c r="E45" s="66"/>
      <c r="F45" s="66"/>
      <c r="G45" s="66"/>
      <c r="H45" s="66"/>
      <c r="I45" s="66"/>
    </row>
    <row r="46" spans="2:16" x14ac:dyDescent="0.2">
      <c r="B46" s="53"/>
      <c r="C46" s="55"/>
      <c r="D46" s="53"/>
      <c r="E46" s="53"/>
      <c r="F46" s="53"/>
      <c r="G46" s="53"/>
      <c r="H46" s="53"/>
      <c r="I46" s="53"/>
    </row>
    <row r="47" spans="2:16" x14ac:dyDescent="0.2">
      <c r="B47" s="53"/>
      <c r="C47" s="53"/>
      <c r="D47" s="53"/>
      <c r="E47" s="53"/>
      <c r="F47" s="53"/>
      <c r="G47" s="53"/>
      <c r="H47" s="53"/>
      <c r="I47" s="53"/>
    </row>
    <row r="48" spans="2:16" x14ac:dyDescent="0.2">
      <c r="B48" s="55"/>
      <c r="C48" s="55"/>
      <c r="D48" s="52"/>
      <c r="E48" s="53"/>
      <c r="F48" s="53"/>
      <c r="G48" s="53"/>
      <c r="H48" s="53"/>
      <c r="I48" s="53"/>
    </row>
    <row r="49" spans="2:9" x14ac:dyDescent="0.2">
      <c r="B49" s="15"/>
      <c r="C49" s="15"/>
      <c r="D49" s="15"/>
    </row>
    <row r="50" spans="2:9" x14ac:dyDescent="0.2">
      <c r="B50" s="55"/>
      <c r="C50" s="55"/>
      <c r="D50" s="52"/>
      <c r="E50" s="225" t="s">
        <v>316</v>
      </c>
      <c r="F50" s="60"/>
      <c r="G50" s="60"/>
      <c r="H50" s="60"/>
      <c r="I50" s="60"/>
    </row>
    <row r="51" spans="2:9" x14ac:dyDescent="0.2">
      <c r="B51" s="55"/>
      <c r="C51" s="55"/>
      <c r="D51" s="52"/>
      <c r="E51" s="53"/>
      <c r="F51" s="60"/>
      <c r="G51" s="60"/>
      <c r="H51" s="60"/>
      <c r="I51" s="60"/>
    </row>
    <row r="52" spans="2:9" x14ac:dyDescent="0.2">
      <c r="B52" s="188" t="s">
        <v>117</v>
      </c>
      <c r="C52" s="189"/>
      <c r="D52" s="189"/>
      <c r="E52" s="66"/>
      <c r="F52" s="66"/>
      <c r="G52" s="66"/>
      <c r="H52" s="66"/>
      <c r="I52" s="66"/>
    </row>
    <row r="53" spans="2:9" x14ac:dyDescent="0.2">
      <c r="B53" s="190" t="s">
        <v>118</v>
      </c>
      <c r="C53" s="191">
        <v>0.46700000000000003</v>
      </c>
      <c r="D53" s="190" t="s">
        <v>119</v>
      </c>
      <c r="E53" s="53"/>
      <c r="F53" s="53"/>
      <c r="G53" s="53"/>
      <c r="H53" s="105"/>
      <c r="I53" s="105"/>
    </row>
    <row r="54" spans="2:9" x14ac:dyDescent="0.2">
      <c r="B54" s="55"/>
      <c r="C54" s="55"/>
      <c r="D54" s="52"/>
      <c r="E54" s="53"/>
      <c r="F54" s="53"/>
      <c r="G54" s="53"/>
      <c r="H54" s="66"/>
      <c r="I54" s="66"/>
    </row>
    <row r="55" spans="2:9" x14ac:dyDescent="0.2">
      <c r="B55" s="55"/>
      <c r="C55" s="55"/>
      <c r="D55" s="52"/>
      <c r="E55" s="53"/>
      <c r="F55" s="53"/>
      <c r="G55" s="53"/>
      <c r="H55" s="66"/>
      <c r="I55" s="66"/>
    </row>
    <row r="56" spans="2:9" x14ac:dyDescent="0.2">
      <c r="B56" s="55"/>
      <c r="C56" s="55"/>
      <c r="D56" s="52"/>
      <c r="E56" s="53"/>
      <c r="F56" s="53"/>
      <c r="G56" s="53"/>
      <c r="H56" s="104"/>
      <c r="I56" s="104"/>
    </row>
    <row r="57" spans="2:9" x14ac:dyDescent="0.2">
      <c r="B57" s="55"/>
      <c r="C57" s="55"/>
      <c r="D57" s="52"/>
      <c r="E57" s="53"/>
      <c r="F57" s="53"/>
      <c r="G57" s="53"/>
      <c r="H57" s="104"/>
      <c r="I57" s="104"/>
    </row>
    <row r="58" spans="2:9" x14ac:dyDescent="0.2">
      <c r="B58" s="55"/>
      <c r="C58" s="55"/>
      <c r="D58" s="52"/>
      <c r="E58" s="53"/>
      <c r="F58" s="53"/>
      <c r="G58" s="53"/>
      <c r="H58" s="105"/>
      <c r="I58" s="105"/>
    </row>
    <row r="59" spans="2:9" x14ac:dyDescent="0.2">
      <c r="B59" s="55"/>
      <c r="C59" s="55"/>
      <c r="D59" s="52"/>
      <c r="E59" s="53"/>
      <c r="F59" s="53"/>
      <c r="G59" s="53"/>
      <c r="H59" s="66"/>
      <c r="I59" s="66"/>
    </row>
    <row r="60" spans="2:9" x14ac:dyDescent="0.2">
      <c r="B60" s="55"/>
      <c r="C60" s="55"/>
      <c r="D60" s="52"/>
      <c r="E60" s="53"/>
      <c r="F60" s="53"/>
      <c r="G60" s="53"/>
      <c r="H60" s="66"/>
      <c r="I60" s="66"/>
    </row>
    <row r="61" spans="2:9" x14ac:dyDescent="0.2">
      <c r="B61" s="55"/>
      <c r="C61" s="55"/>
      <c r="D61" s="52"/>
      <c r="E61" s="53"/>
      <c r="F61" s="53"/>
      <c r="G61" s="53"/>
      <c r="H61" s="60"/>
      <c r="I61" s="60"/>
    </row>
    <row r="62" spans="2:9" x14ac:dyDescent="0.2">
      <c r="B62" s="55"/>
      <c r="C62" s="55"/>
      <c r="D62" s="61"/>
      <c r="E62" s="61"/>
      <c r="F62" s="61"/>
      <c r="G62" s="61"/>
      <c r="H62" s="61"/>
      <c r="I62" s="61"/>
    </row>
    <row r="63" spans="2:9" x14ac:dyDescent="0.2">
      <c r="B63" s="55"/>
      <c r="C63" s="55"/>
      <c r="D63" s="52"/>
      <c r="E63" s="53"/>
      <c r="F63" s="53"/>
      <c r="G63" s="53"/>
      <c r="H63" s="53"/>
      <c r="I63" s="53"/>
    </row>
    <row r="64" spans="2:9" x14ac:dyDescent="0.2">
      <c r="B64" s="55"/>
      <c r="C64" s="55"/>
      <c r="D64" s="52"/>
      <c r="E64" s="53"/>
      <c r="F64" s="53"/>
      <c r="G64" s="53"/>
      <c r="H64" s="53"/>
      <c r="I64" s="53"/>
    </row>
    <row r="65" spans="2:10" x14ac:dyDescent="0.2">
      <c r="B65" s="55"/>
      <c r="C65" s="55"/>
      <c r="D65" s="52"/>
      <c r="E65" s="53"/>
      <c r="F65" s="53"/>
      <c r="G65" s="53"/>
      <c r="H65" s="53"/>
      <c r="I65" s="53"/>
    </row>
    <row r="66" spans="2:10" x14ac:dyDescent="0.2">
      <c r="B66" s="55"/>
      <c r="C66" s="55"/>
      <c r="D66" s="52"/>
      <c r="E66" s="53"/>
      <c r="F66" s="53"/>
      <c r="G66" s="53"/>
      <c r="H66" s="53"/>
      <c r="I66" s="53"/>
    </row>
    <row r="67" spans="2:10" x14ac:dyDescent="0.2">
      <c r="B67" s="55"/>
      <c r="C67" s="55"/>
      <c r="D67" s="52"/>
      <c r="E67" s="53"/>
      <c r="F67" s="53"/>
      <c r="G67" s="53"/>
      <c r="H67" s="53"/>
      <c r="I67" s="53"/>
    </row>
    <row r="68" spans="2:10" x14ac:dyDescent="0.2">
      <c r="B68" s="55"/>
      <c r="C68" s="55"/>
      <c r="D68" s="52"/>
      <c r="E68" s="53"/>
      <c r="F68" s="53"/>
      <c r="G68" s="53"/>
      <c r="H68" s="53"/>
      <c r="I68" s="53"/>
    </row>
    <row r="69" spans="2:10" x14ac:dyDescent="0.2">
      <c r="B69" s="55"/>
      <c r="C69" s="55"/>
      <c r="D69" s="52"/>
      <c r="E69" s="53"/>
      <c r="F69" s="53"/>
      <c r="G69" s="53"/>
      <c r="H69" s="53"/>
      <c r="I69" s="53"/>
    </row>
    <row r="70" spans="2:10" x14ac:dyDescent="0.2">
      <c r="B70" s="55"/>
      <c r="C70" s="55"/>
      <c r="D70" s="52"/>
      <c r="E70" s="53"/>
      <c r="F70" s="53"/>
      <c r="G70" s="53"/>
      <c r="H70" s="53"/>
      <c r="I70" s="53"/>
    </row>
    <row r="71" spans="2:10" x14ac:dyDescent="0.2">
      <c r="B71" s="55"/>
      <c r="C71" s="55"/>
      <c r="D71" s="52"/>
      <c r="E71" s="53"/>
      <c r="F71" s="53"/>
      <c r="G71" s="53"/>
      <c r="H71" s="53"/>
      <c r="I71" s="53"/>
    </row>
    <row r="72" spans="2:10" x14ac:dyDescent="0.2">
      <c r="B72" s="239" t="s">
        <v>173</v>
      </c>
      <c r="C72" s="239"/>
      <c r="D72" s="239"/>
      <c r="E72" s="239"/>
      <c r="F72" s="239"/>
      <c r="G72" s="53"/>
      <c r="H72" s="53"/>
      <c r="I72" s="53"/>
    </row>
    <row r="73" spans="2:10" x14ac:dyDescent="0.2">
      <c r="B73" s="74" t="s">
        <v>168</v>
      </c>
      <c r="C73" s="75"/>
      <c r="D73" s="76" t="s">
        <v>10</v>
      </c>
      <c r="E73" s="76" t="s">
        <v>106</v>
      </c>
      <c r="F73" s="76" t="s">
        <v>107</v>
      </c>
      <c r="G73" s="76" t="s">
        <v>108</v>
      </c>
      <c r="H73" s="76" t="s">
        <v>109</v>
      </c>
      <c r="I73" s="95" t="s">
        <v>110</v>
      </c>
      <c r="J73" s="192"/>
    </row>
    <row r="74" spans="2:10" x14ac:dyDescent="0.2">
      <c r="B74" s="77"/>
      <c r="C74" s="78"/>
      <c r="D74" s="118">
        <f>D44</f>
        <v>5.8115631691648808</v>
      </c>
      <c r="E74" s="118">
        <f>E44</f>
        <v>3.5374732334047105</v>
      </c>
      <c r="F74" s="118">
        <f>F44</f>
        <v>2.5267665952890788</v>
      </c>
      <c r="G74" s="118">
        <f t="shared" ref="G74:I74" si="4">G44</f>
        <v>3.2847965738758029</v>
      </c>
      <c r="H74" s="118">
        <f t="shared" si="4"/>
        <v>6.569593147751605</v>
      </c>
      <c r="I74" s="119">
        <f t="shared" si="4"/>
        <v>3.2847965738758029</v>
      </c>
      <c r="J74" s="193"/>
    </row>
    <row r="75" spans="2:10" x14ac:dyDescent="0.2">
      <c r="B75" s="55"/>
      <c r="C75" s="61"/>
      <c r="D75" s="53"/>
      <c r="E75" s="52"/>
      <c r="F75" s="52"/>
      <c r="G75" s="53"/>
      <c r="H75" s="53"/>
      <c r="I75" s="53"/>
    </row>
    <row r="76" spans="2:10" x14ac:dyDescent="0.2">
      <c r="B76" s="239" t="s">
        <v>258</v>
      </c>
      <c r="C76" s="239"/>
      <c r="D76" s="239"/>
      <c r="E76" s="239"/>
      <c r="F76" s="239"/>
      <c r="G76" s="97"/>
      <c r="H76" s="97"/>
      <c r="I76" s="97"/>
    </row>
    <row r="77" spans="2:10" x14ac:dyDescent="0.2">
      <c r="B77" s="74" t="s">
        <v>143</v>
      </c>
      <c r="C77" s="75"/>
      <c r="D77" s="76" t="s">
        <v>10</v>
      </c>
      <c r="E77" s="76" t="s">
        <v>106</v>
      </c>
      <c r="F77" s="76" t="s">
        <v>107</v>
      </c>
      <c r="G77" s="76" t="s">
        <v>108</v>
      </c>
      <c r="H77" s="76" t="s">
        <v>109</v>
      </c>
      <c r="I77" s="95" t="s">
        <v>110</v>
      </c>
      <c r="J77" s="194"/>
    </row>
    <row r="78" spans="2:10" x14ac:dyDescent="0.2">
      <c r="B78" s="80" t="s">
        <v>125</v>
      </c>
      <c r="C78" s="81"/>
      <c r="D78" s="82">
        <f xml:space="preserve"> ROUNDUP(IF((2.88 * $D$74)&gt;6, 2.88*$D$74,6),0)</f>
        <v>17</v>
      </c>
      <c r="E78" s="82">
        <f>ROUNDUP( IF((2.88 *$E$74)&gt;6, 2.88*$E$74,6),0)</f>
        <v>11</v>
      </c>
      <c r="F78" s="82">
        <f>ROUNDUP( IF((2.88 *F74)&gt;6, 2.88*F74,6),0)</f>
        <v>8</v>
      </c>
      <c r="G78" s="82">
        <f xml:space="preserve"> ROUNDUP(IF((2.88 *G74)&gt;6, 2.88*G74,6),0)</f>
        <v>10</v>
      </c>
      <c r="H78" s="82">
        <f xml:space="preserve"> ROUNDUP(IF((2.88 *H74)&gt;6, 2.88*H74,6),0)</f>
        <v>19</v>
      </c>
      <c r="I78" s="98">
        <f>ROUNDUP(IF((2.88 *I74)&gt;6, 2.88*I74,6),0)</f>
        <v>10</v>
      </c>
      <c r="J78" s="195"/>
    </row>
    <row r="79" spans="2:10" x14ac:dyDescent="0.2">
      <c r="B79" s="80" t="s">
        <v>126</v>
      </c>
      <c r="C79" s="83"/>
      <c r="D79" s="82">
        <f xml:space="preserve"> ROUNDUP(IF((1.2 * $D$74)&gt;4, 1.2*$D$74,4),0)</f>
        <v>7</v>
      </c>
      <c r="E79" s="82">
        <f>ROUNDUP(IF((1.2 *$E$74)&gt;4, 1.2*$E$74,4),0)</f>
        <v>5</v>
      </c>
      <c r="F79" s="82">
        <f xml:space="preserve"> ROUNDUP(IF((1.2 *F74)&gt;4, 1.2*F74,4),0)</f>
        <v>4</v>
      </c>
      <c r="G79" s="82">
        <f xml:space="preserve"> ROUNDUP(IF((1.2 *G74)&gt;4, 1.2*G74,4),0)</f>
        <v>4</v>
      </c>
      <c r="H79" s="82">
        <f>ROUNDUP(IF((1.2 *H74)&gt;4, 1.2*H74,4),0)</f>
        <v>8</v>
      </c>
      <c r="I79" s="98">
        <f xml:space="preserve"> ROUNDUP(IF((1.2 *I74)&gt;4, 1.2*I74,4),)</f>
        <v>4</v>
      </c>
      <c r="J79" s="195"/>
    </row>
    <row r="80" spans="2:10" x14ac:dyDescent="0.2">
      <c r="B80" s="80" t="s">
        <v>127</v>
      </c>
      <c r="C80" s="83"/>
      <c r="D80" s="82">
        <f xml:space="preserve"> ROUNDUP(IF((1 * $D$74)&gt;4, 1*$D$74,4),0)</f>
        <v>6</v>
      </c>
      <c r="E80" s="82">
        <f>ROUNDUP(IF((1 *$E$74)&gt;4, 1*$E$74,4),0)</f>
        <v>4</v>
      </c>
      <c r="F80" s="82">
        <f>ROUNDUP(IF((1 *F74)&gt;4, 1*F74,4),0)</f>
        <v>4</v>
      </c>
      <c r="G80" s="82">
        <f>ROUNDUP(IF((1 *G74)&gt;4, 1*G74,4),0)</f>
        <v>4</v>
      </c>
      <c r="H80" s="82">
        <f>ROUNDUP(IF((1 *H74)&gt;4, 1*H74,4),0)</f>
        <v>7</v>
      </c>
      <c r="I80" s="98">
        <f>ROUNDUP(IF((1 *I74)&gt;4, 1*I74,4),0)</f>
        <v>4</v>
      </c>
      <c r="J80" s="195"/>
    </row>
    <row r="81" spans="2:10" x14ac:dyDescent="0.2">
      <c r="B81" s="77" t="s">
        <v>128</v>
      </c>
      <c r="C81" s="78"/>
      <c r="D81" s="79">
        <f>ROUNDUP(IF((0.72 * $D$74)&gt;4, 0.72*$D$74,4),0)</f>
        <v>5</v>
      </c>
      <c r="E81" s="79">
        <f>ROUNDUP(IF((0.72 *$E$74)&gt;4, 0.72*$E$74,4),0)</f>
        <v>4</v>
      </c>
      <c r="F81" s="79">
        <f>ROUNDUP(IF((0.72 *F74)&gt;4, 0.72*F74,4),0)</f>
        <v>4</v>
      </c>
      <c r="G81" s="79">
        <f>ROUNDUP(IF((0.72 *G74)&gt;4, 0.72*G74,4),0)</f>
        <v>4</v>
      </c>
      <c r="H81" s="79">
        <f>ROUNDUP(IF((0.72 *H74)&gt;4, 0.72*H74,4),0)</f>
        <v>5</v>
      </c>
      <c r="I81" s="96">
        <f>ROUNDUP(IF((0.72 *I74)&gt;4, 0.72*I74,4),0)</f>
        <v>4</v>
      </c>
      <c r="J81" s="196"/>
    </row>
    <row r="83" spans="2:10" x14ac:dyDescent="0.2">
      <c r="B83" s="229" t="s">
        <v>257</v>
      </c>
      <c r="C83" s="229"/>
      <c r="D83" s="229"/>
      <c r="E83" s="229"/>
      <c r="F83" s="229"/>
    </row>
    <row r="84" spans="2:10" x14ac:dyDescent="0.2">
      <c r="B84" s="74" t="s">
        <v>140</v>
      </c>
      <c r="C84" s="75"/>
      <c r="D84" s="91" t="s">
        <v>10</v>
      </c>
      <c r="E84" s="91" t="s">
        <v>106</v>
      </c>
      <c r="F84" s="91" t="s">
        <v>107</v>
      </c>
      <c r="G84" s="76" t="s">
        <v>108</v>
      </c>
      <c r="H84" s="76" t="s">
        <v>109</v>
      </c>
      <c r="I84" s="76" t="s">
        <v>110</v>
      </c>
      <c r="J84" s="192"/>
    </row>
    <row r="85" spans="2:10" x14ac:dyDescent="0.2">
      <c r="B85" s="84" t="s">
        <v>139</v>
      </c>
      <c r="C85" s="85"/>
      <c r="D85" s="86">
        <f>Calculator!Q70</f>
        <v>172.07074428887256</v>
      </c>
      <c r="E85" s="86">
        <f>Calculator!Q71</f>
        <v>141.34382566585958</v>
      </c>
      <c r="F85" s="86">
        <f>Calculator!Q72</f>
        <v>197.88135593220343</v>
      </c>
      <c r="G85" s="86">
        <f>Calculator!Q73</f>
        <v>152.21642764015647</v>
      </c>
      <c r="H85" s="86">
        <f>Calculator!Q74</f>
        <v>152.21642764015647</v>
      </c>
      <c r="I85" s="86">
        <f>Calculator!Q75</f>
        <v>152.21642764015647</v>
      </c>
      <c r="J85" s="197"/>
    </row>
    <row r="86" spans="2:10" x14ac:dyDescent="0.2">
      <c r="B86" s="80" t="s">
        <v>136</v>
      </c>
      <c r="C86" s="83"/>
      <c r="D86" s="116">
        <f>Calculator!R70</f>
        <v>5.8115631691648808</v>
      </c>
      <c r="E86" s="116">
        <f>Calculator!R71</f>
        <v>7.0749464668094211</v>
      </c>
      <c r="F86" s="116">
        <f>Calculator!R72</f>
        <v>5.0535331905781575</v>
      </c>
      <c r="G86" s="116">
        <f>Calculator!R73</f>
        <v>6.569593147751605</v>
      </c>
      <c r="H86" s="116">
        <f>Calculator!R74</f>
        <v>6.569593147751605</v>
      </c>
      <c r="I86" s="116">
        <f>Calculator!R75</f>
        <v>6.569593147751605</v>
      </c>
      <c r="J86" s="197"/>
    </row>
    <row r="87" spans="2:10" x14ac:dyDescent="0.2">
      <c r="B87" s="80" t="s">
        <v>135</v>
      </c>
      <c r="C87" s="83"/>
      <c r="D87" s="82">
        <f>Calculator!P70</f>
        <v>1</v>
      </c>
      <c r="E87" s="82">
        <f>Calculator!P71</f>
        <v>0</v>
      </c>
      <c r="F87" s="82">
        <f>Calculator!P72</f>
        <v>0</v>
      </c>
      <c r="G87" s="82">
        <f>Calculator!P73</f>
        <v>0</v>
      </c>
      <c r="H87" s="82">
        <f>Calculator!P74</f>
        <v>1</v>
      </c>
      <c r="I87" s="82">
        <f>Calculator!P75</f>
        <v>0</v>
      </c>
      <c r="J87" s="197"/>
    </row>
    <row r="88" spans="2:10" x14ac:dyDescent="0.2">
      <c r="B88" s="80" t="s">
        <v>142</v>
      </c>
      <c r="C88" s="83"/>
      <c r="D88" s="82">
        <f>Calculator!S70</f>
        <v>1000</v>
      </c>
      <c r="E88" s="82">
        <f>Calculator!S71</f>
        <v>2000</v>
      </c>
      <c r="F88" s="82">
        <f>Calculator!S72</f>
        <v>2000</v>
      </c>
      <c r="G88" s="82">
        <f>Calculator!S73</f>
        <v>2000</v>
      </c>
      <c r="H88" s="82">
        <f>Calculator!S74</f>
        <v>1000</v>
      </c>
      <c r="I88" s="82">
        <f>Calculator!S75</f>
        <v>2000</v>
      </c>
      <c r="J88" s="197"/>
    </row>
    <row r="89" spans="2:10" x14ac:dyDescent="0.2">
      <c r="B89" s="80"/>
      <c r="C89" s="83"/>
      <c r="D89" s="82"/>
      <c r="E89" s="82"/>
      <c r="F89" s="82"/>
      <c r="G89" s="82"/>
      <c r="H89" s="82"/>
      <c r="I89" s="82"/>
      <c r="J89" s="197"/>
    </row>
    <row r="90" spans="2:10" x14ac:dyDescent="0.2">
      <c r="B90" s="80" t="s">
        <v>141</v>
      </c>
      <c r="C90" s="83"/>
      <c r="D90" s="81" t="s">
        <v>10</v>
      </c>
      <c r="E90" s="81" t="s">
        <v>106</v>
      </c>
      <c r="F90" s="81" t="s">
        <v>10</v>
      </c>
      <c r="G90" s="82" t="s">
        <v>108</v>
      </c>
      <c r="H90" s="82" t="s">
        <v>109</v>
      </c>
      <c r="I90" s="82" t="s">
        <v>110</v>
      </c>
      <c r="J90" s="197"/>
    </row>
    <row r="91" spans="2:10" x14ac:dyDescent="0.2">
      <c r="B91" s="84" t="s">
        <v>139</v>
      </c>
      <c r="C91" s="85"/>
      <c r="D91" s="86">
        <f>Calculator!Q77</f>
        <v>172.07074428887256</v>
      </c>
      <c r="E91" s="86">
        <f>Calculator!Q78</f>
        <v>282.68765133171917</v>
      </c>
      <c r="F91" s="86">
        <f>Calculator!Q79</f>
        <v>395.76271186440687</v>
      </c>
      <c r="G91" s="86">
        <f>Calculator!Q80</f>
        <v>304.43285528031294</v>
      </c>
      <c r="H91" s="86">
        <f>Calculator!Q81</f>
        <v>152.21642764015647</v>
      </c>
      <c r="I91" s="86">
        <f>Calculator!Q82</f>
        <v>304.43285528031294</v>
      </c>
      <c r="J91" s="197"/>
    </row>
    <row r="92" spans="2:10" x14ac:dyDescent="0.2">
      <c r="B92" s="80" t="s">
        <v>136</v>
      </c>
      <c r="C92" s="83"/>
      <c r="D92" s="116">
        <f>Calculator!R77</f>
        <v>5.8115631691648808</v>
      </c>
      <c r="E92" s="116">
        <f>Calculator!R78</f>
        <v>3.5374732334047105</v>
      </c>
      <c r="F92" s="116">
        <f>Calculator!R79</f>
        <v>2.5267665952890788</v>
      </c>
      <c r="G92" s="116">
        <f>Calculator!R80</f>
        <v>3.2847965738758025</v>
      </c>
      <c r="H92" s="116">
        <f>Calculator!R81</f>
        <v>6.569593147751605</v>
      </c>
      <c r="I92" s="116">
        <f>Calculator!R82</f>
        <v>3.2847965738758025</v>
      </c>
      <c r="J92" s="197"/>
    </row>
    <row r="93" spans="2:10" x14ac:dyDescent="0.2">
      <c r="B93" s="80" t="s">
        <v>135</v>
      </c>
      <c r="C93" s="83"/>
      <c r="D93" s="82">
        <f>Calculator!P77</f>
        <v>0</v>
      </c>
      <c r="E93" s="82">
        <f>Calculator!P78</f>
        <v>0</v>
      </c>
      <c r="F93" s="82">
        <f>Calculator!P79</f>
        <v>0</v>
      </c>
      <c r="G93" s="82">
        <f>Calculator!P80</f>
        <v>0</v>
      </c>
      <c r="H93" s="82">
        <f>Calculator!P81</f>
        <v>0</v>
      </c>
      <c r="I93" s="82">
        <f>Calculator!P82</f>
        <v>0</v>
      </c>
      <c r="J93" s="197"/>
    </row>
    <row r="94" spans="2:10" x14ac:dyDescent="0.2">
      <c r="B94" s="77" t="s">
        <v>142</v>
      </c>
      <c r="C94" s="78"/>
      <c r="D94" s="79">
        <f>Calculator!S77</f>
        <v>1000</v>
      </c>
      <c r="E94" s="79">
        <f>Calculator!S78</f>
        <v>1000</v>
      </c>
      <c r="F94" s="79">
        <f>Calculator!S79</f>
        <v>1000</v>
      </c>
      <c r="G94" s="79">
        <f>Calculator!S80</f>
        <v>1000</v>
      </c>
      <c r="H94" s="79">
        <f>Calculator!S81</f>
        <v>1000</v>
      </c>
      <c r="I94" s="79">
        <f>Calculator!S82</f>
        <v>1000</v>
      </c>
      <c r="J94" s="193"/>
    </row>
    <row r="95" spans="2:10" x14ac:dyDescent="0.2">
      <c r="B95" s="15"/>
      <c r="C95" s="15"/>
      <c r="D95" s="15"/>
    </row>
    <row r="96" spans="2:10" x14ac:dyDescent="0.2">
      <c r="B96" s="239" t="s">
        <v>318</v>
      </c>
      <c r="C96" s="239"/>
      <c r="D96" s="239"/>
      <c r="E96" s="239"/>
      <c r="F96" s="239"/>
      <c r="G96" s="97"/>
      <c r="H96" s="97"/>
      <c r="I96" s="97"/>
    </row>
    <row r="97" spans="2:10" x14ac:dyDescent="0.2">
      <c r="B97" s="74"/>
      <c r="C97" s="75"/>
      <c r="D97" s="76" t="s">
        <v>10</v>
      </c>
      <c r="E97" s="76" t="s">
        <v>106</v>
      </c>
      <c r="F97" s="76" t="s">
        <v>107</v>
      </c>
      <c r="G97" s="76" t="s">
        <v>108</v>
      </c>
      <c r="H97" s="76" t="s">
        <v>109</v>
      </c>
      <c r="I97" s="76" t="s">
        <v>110</v>
      </c>
      <c r="J97" s="192"/>
    </row>
    <row r="98" spans="2:10" x14ac:dyDescent="0.2">
      <c r="B98" s="84" t="s">
        <v>137</v>
      </c>
      <c r="C98" s="85"/>
      <c r="D98" s="87">
        <f>Calculator!F87</f>
        <v>-3</v>
      </c>
      <c r="E98" s="87">
        <f>Calculator!F88</f>
        <v>-3</v>
      </c>
      <c r="F98" s="87">
        <f>Calculator!F89</f>
        <v>-3</v>
      </c>
      <c r="G98" s="87">
        <f>Calculator!F90</f>
        <v>-3</v>
      </c>
      <c r="H98" s="87">
        <f>Calculator!F91</f>
        <v>-3</v>
      </c>
      <c r="I98" s="87">
        <f>Calculator!F92</f>
        <v>-3</v>
      </c>
      <c r="J98" s="197"/>
    </row>
    <row r="99" spans="2:10" ht="15" x14ac:dyDescent="0.2">
      <c r="B99" s="80" t="s">
        <v>160</v>
      </c>
      <c r="C99" s="83"/>
      <c r="D99" s="220">
        <f>D43</f>
        <v>-3.6638999999999995</v>
      </c>
      <c r="E99" s="220">
        <f t="shared" ref="E99:I99" si="5">E43</f>
        <v>-2.2302</v>
      </c>
      <c r="F99" s="220">
        <f t="shared" si="5"/>
        <v>-1.593</v>
      </c>
      <c r="G99" s="220">
        <f t="shared" si="5"/>
        <v>-2.0709</v>
      </c>
      <c r="H99" s="220">
        <f t="shared" si="5"/>
        <v>-4.1417999999999999</v>
      </c>
      <c r="I99" s="220">
        <f t="shared" si="5"/>
        <v>-2.0709</v>
      </c>
      <c r="J99" s="197"/>
    </row>
    <row r="100" spans="2:10" x14ac:dyDescent="0.2">
      <c r="B100" s="216" t="s">
        <v>138</v>
      </c>
      <c r="C100" s="83"/>
      <c r="D100" s="81"/>
      <c r="E100" s="81"/>
      <c r="F100" s="81"/>
      <c r="G100" s="81"/>
      <c r="H100" s="81"/>
      <c r="I100" s="87"/>
      <c r="J100" s="197"/>
    </row>
    <row r="101" spans="2:10" x14ac:dyDescent="0.2">
      <c r="B101" s="217" t="s">
        <v>171</v>
      </c>
      <c r="C101" s="83"/>
      <c r="D101" s="81"/>
      <c r="E101" s="81"/>
      <c r="F101" s="82"/>
      <c r="G101" s="81"/>
      <c r="H101" s="81"/>
      <c r="I101" s="87"/>
      <c r="J101" s="197"/>
    </row>
    <row r="102" spans="2:10" x14ac:dyDescent="0.2">
      <c r="B102" s="232" t="str">
        <f>IF(H99&gt;H98, " ","Additional mechanical restraint required in zones exceeding allowed maximum. Peelstop bars spaced at 1000mm, fixed either every crown(metal deck) or every 265mm (timber and concrete decks) and covered with coverstrap")</f>
        <v>Additional mechanical restraint required in zones exceeding allowed maximum. Peelstop bars spaced at 1000mm, fixed either every crown(metal deck) or every 265mm (timber and concrete decks) and covered with coverstrap</v>
      </c>
      <c r="C102" s="233"/>
      <c r="D102" s="233"/>
      <c r="E102" s="233"/>
      <c r="F102" s="233"/>
      <c r="G102" s="81"/>
      <c r="H102" s="81"/>
      <c r="I102" s="87"/>
      <c r="J102" s="197"/>
    </row>
    <row r="103" spans="2:10" x14ac:dyDescent="0.2">
      <c r="B103" s="232"/>
      <c r="C103" s="233"/>
      <c r="D103" s="233"/>
      <c r="E103" s="233"/>
      <c r="F103" s="233"/>
      <c r="G103" s="81"/>
      <c r="H103" s="81"/>
      <c r="I103" s="87"/>
      <c r="J103" s="197"/>
    </row>
    <row r="104" spans="2:10" x14ac:dyDescent="0.2">
      <c r="B104" s="235"/>
      <c r="C104" s="236"/>
      <c r="D104" s="236"/>
      <c r="E104" s="236"/>
      <c r="F104" s="236"/>
      <c r="G104" s="218"/>
      <c r="H104" s="218"/>
      <c r="I104" s="219"/>
      <c r="J104" s="193"/>
    </row>
    <row r="105" spans="2:10" x14ac:dyDescent="0.2">
      <c r="B105" s="15"/>
      <c r="C105" s="15"/>
      <c r="D105" s="15"/>
    </row>
    <row r="106" spans="2:10" x14ac:dyDescent="0.2">
      <c r="B106" s="239" t="s">
        <v>259</v>
      </c>
      <c r="C106" s="239"/>
      <c r="D106" s="239"/>
      <c r="E106" s="239"/>
      <c r="F106" s="239"/>
      <c r="G106" s="97"/>
      <c r="H106" s="97"/>
      <c r="I106" s="97"/>
    </row>
    <row r="107" spans="2:10" x14ac:dyDescent="0.2">
      <c r="B107" s="134"/>
      <c r="C107" s="135"/>
      <c r="D107" s="76" t="s">
        <v>10</v>
      </c>
      <c r="E107" s="76" t="s">
        <v>106</v>
      </c>
      <c r="F107" s="76" t="s">
        <v>107</v>
      </c>
      <c r="G107" s="76" t="s">
        <v>108</v>
      </c>
      <c r="H107" s="76" t="s">
        <v>109</v>
      </c>
      <c r="I107" s="76" t="s">
        <v>110</v>
      </c>
      <c r="J107" s="192"/>
    </row>
    <row r="108" spans="2:10" x14ac:dyDescent="0.2">
      <c r="B108" s="80" t="s">
        <v>170</v>
      </c>
      <c r="C108" s="83"/>
      <c r="D108" s="86">
        <f t="shared" ref="D108:I108" si="6">IF((D99*-100)&lt;80, 80,D99*-100)</f>
        <v>366.38999999999993</v>
      </c>
      <c r="E108" s="86">
        <f t="shared" si="6"/>
        <v>223.01999999999998</v>
      </c>
      <c r="F108" s="86">
        <f t="shared" si="6"/>
        <v>159.30000000000001</v>
      </c>
      <c r="G108" s="86">
        <f t="shared" si="6"/>
        <v>207.09</v>
      </c>
      <c r="H108" s="86">
        <f t="shared" si="6"/>
        <v>414.18</v>
      </c>
      <c r="I108" s="86">
        <f t="shared" si="6"/>
        <v>207.09</v>
      </c>
      <c r="J108" s="197"/>
    </row>
    <row r="109" spans="2:10" x14ac:dyDescent="0.2">
      <c r="B109" s="80"/>
      <c r="C109" s="83"/>
      <c r="D109" s="128"/>
      <c r="E109" s="129"/>
      <c r="F109" s="129"/>
      <c r="G109" s="129"/>
      <c r="H109" s="129"/>
      <c r="I109" s="129"/>
      <c r="J109" s="197"/>
    </row>
    <row r="110" spans="2:10" x14ac:dyDescent="0.2">
      <c r="B110" s="80"/>
      <c r="C110" s="83"/>
      <c r="D110" s="128"/>
      <c r="E110" s="129"/>
      <c r="F110" s="129"/>
      <c r="G110" s="129"/>
      <c r="H110" s="129"/>
      <c r="I110" s="129"/>
      <c r="J110" s="197"/>
    </row>
    <row r="111" spans="2:10" x14ac:dyDescent="0.2">
      <c r="B111" s="77"/>
      <c r="C111" s="78"/>
      <c r="D111" s="131"/>
      <c r="E111" s="132"/>
      <c r="F111" s="132"/>
      <c r="G111" s="132"/>
      <c r="H111" s="132"/>
      <c r="I111" s="133"/>
      <c r="J111" s="193"/>
    </row>
  </sheetData>
  <mergeCells count="9">
    <mergeCell ref="B106:F106"/>
    <mergeCell ref="B96:F96"/>
    <mergeCell ref="B102:F104"/>
    <mergeCell ref="B1:I2"/>
    <mergeCell ref="B72:F72"/>
    <mergeCell ref="B76:F76"/>
    <mergeCell ref="B17:I18"/>
    <mergeCell ref="B83:F83"/>
    <mergeCell ref="C3:E3"/>
  </mergeCells>
  <phoneticPr fontId="0" type="noConversion"/>
  <conditionalFormatting sqref="D99">
    <cfRule type="cellIs" dxfId="58" priority="6" operator="greaterThan">
      <formula>$D$98</formula>
    </cfRule>
    <cfRule type="cellIs" dxfId="57" priority="12" operator="lessThan">
      <formula>$D$98</formula>
    </cfRule>
  </conditionalFormatting>
  <conditionalFormatting sqref="E99">
    <cfRule type="cellIs" dxfId="56" priority="5" operator="greaterThan">
      <formula>$E$98</formula>
    </cfRule>
    <cfRule type="cellIs" dxfId="55" priority="11" operator="lessThan">
      <formula>$E$98</formula>
    </cfRule>
  </conditionalFormatting>
  <conditionalFormatting sqref="F99">
    <cfRule type="cellIs" dxfId="54" priority="4" operator="greaterThan">
      <formula>$F$98</formula>
    </cfRule>
    <cfRule type="cellIs" dxfId="53" priority="10" operator="lessThan">
      <formula>$F$98</formula>
    </cfRule>
  </conditionalFormatting>
  <conditionalFormatting sqref="G99">
    <cfRule type="cellIs" dxfId="52" priority="3" operator="greaterThan">
      <formula>$G$98</formula>
    </cfRule>
    <cfRule type="cellIs" dxfId="51" priority="9" operator="lessThan">
      <formula>$G$98</formula>
    </cfRule>
  </conditionalFormatting>
  <conditionalFormatting sqref="H99">
    <cfRule type="cellIs" dxfId="50" priority="2" operator="greaterThan">
      <formula>$H$98</formula>
    </cfRule>
    <cfRule type="cellIs" dxfId="49" priority="8" operator="lessThan">
      <formula>$H$98</formula>
    </cfRule>
  </conditionalFormatting>
  <conditionalFormatting sqref="I99">
    <cfRule type="cellIs" dxfId="48" priority="1" operator="greaterThan">
      <formula>$I$98</formula>
    </cfRule>
    <cfRule type="cellIs" dxfId="47" priority="7" operator="lessThan">
      <formula>$I$98</formula>
    </cfRule>
  </conditionalFormatting>
  <pageMargins left="0.23622047244094491" right="0.23622047244094491" top="0.94488188976377963" bottom="0.55118110236220474" header="0.31496062992125984" footer="0.31496062992125984"/>
  <pageSetup paperSize="9" scale="94" orientation="portrait" horizontalDpi="4294967293" r:id="rId1"/>
  <headerFooter alignWithMargins="0">
    <oddHeader>&amp;L&amp;G&amp;RTechnical Services Department
t:- 01257 488012
e:- polymeric.technical.uk@iko.com</oddHeader>
    <oddFooter>&amp;L&amp;D&amp;CPage &amp;P of &amp;N</oddFooter>
  </headerFooter>
  <rowBreaks count="1" manualBreakCount="1">
    <brk id="49" max="16383" man="1"/>
  </row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Q111"/>
  <sheetViews>
    <sheetView showZeros="0" showOutlineSymbols="0" view="pageLayout" topLeftCell="A66" zoomScaleNormal="100" workbookViewId="0">
      <selection activeCell="C91" sqref="C91"/>
    </sheetView>
  </sheetViews>
  <sheetFormatPr defaultRowHeight="12.75" x14ac:dyDescent="0.2"/>
  <cols>
    <col min="1" max="1" width="3" style="15" customWidth="1"/>
    <col min="2" max="2" width="19" style="12" customWidth="1"/>
    <col min="3" max="3" width="15.7109375" style="12" customWidth="1"/>
    <col min="4" max="4" width="6.5703125" style="13" customWidth="1"/>
    <col min="5" max="6" width="6.5703125" style="15" customWidth="1"/>
    <col min="7" max="7" width="7" style="15" customWidth="1"/>
    <col min="8" max="8" width="6.140625" style="15" customWidth="1"/>
    <col min="9" max="9" width="7.28515625" style="15" bestFit="1" customWidth="1"/>
    <col min="10" max="10" width="17.140625" style="15" customWidth="1"/>
    <col min="11" max="11" width="3.7109375" style="15" customWidth="1"/>
    <col min="12" max="12" width="9.5703125" style="15" customWidth="1"/>
    <col min="13" max="16384" width="9.140625" style="15"/>
  </cols>
  <sheetData>
    <row r="1" spans="1:9" x14ac:dyDescent="0.2">
      <c r="A1" s="53"/>
      <c r="B1" s="230" t="str">
        <f>"Project:  " &amp; 'New Input'!C4</f>
        <v xml:space="preserve">Project:  </v>
      </c>
      <c r="C1" s="231"/>
      <c r="D1" s="231"/>
      <c r="E1" s="231"/>
      <c r="F1" s="231"/>
      <c r="G1" s="231"/>
      <c r="H1" s="231"/>
      <c r="I1" s="231"/>
    </row>
    <row r="2" spans="1:9" x14ac:dyDescent="0.2">
      <c r="A2" s="53"/>
      <c r="B2" s="231"/>
      <c r="C2" s="231"/>
      <c r="D2" s="231"/>
      <c r="E2" s="231"/>
      <c r="F2" s="231"/>
      <c r="G2" s="231"/>
      <c r="H2" s="231"/>
      <c r="I2" s="231"/>
    </row>
    <row r="3" spans="1:9" ht="12.75" customHeight="1" x14ac:dyDescent="0.2">
      <c r="A3" s="53"/>
      <c r="B3" s="67" t="s">
        <v>162</v>
      </c>
      <c r="C3" s="238" t="str">
        <f>Calculator!T2&amp;'New Input'!C2&amp;"-"&amp;'New Input'!C4</f>
        <v>WUC-SP-00-</v>
      </c>
      <c r="D3" s="238"/>
      <c r="E3" s="238"/>
      <c r="F3" s="103"/>
      <c r="G3" s="103"/>
      <c r="H3" s="103"/>
      <c r="I3" s="103"/>
    </row>
    <row r="4" spans="1:9" x14ac:dyDescent="0.2">
      <c r="A4" s="53"/>
      <c r="B4" s="68" t="s">
        <v>163</v>
      </c>
      <c r="C4" s="141" t="str">
        <f>UPPER('New Input'!C8)</f>
        <v/>
      </c>
      <c r="D4" s="103"/>
      <c r="E4" s="103"/>
      <c r="F4" s="103"/>
      <c r="G4" s="103"/>
      <c r="H4" s="103"/>
      <c r="I4" s="103"/>
    </row>
    <row r="5" spans="1:9" x14ac:dyDescent="0.2">
      <c r="A5" s="53"/>
      <c r="B5" s="68" t="s">
        <v>164</v>
      </c>
      <c r="C5" s="89">
        <f>calculation!B12</f>
        <v>0</v>
      </c>
      <c r="D5" s="103"/>
      <c r="E5" s="103"/>
      <c r="F5" s="103"/>
      <c r="G5" s="103"/>
      <c r="H5" s="103"/>
      <c r="I5" s="103"/>
    </row>
    <row r="6" spans="1:9" x14ac:dyDescent="0.2">
      <c r="A6" s="53"/>
      <c r="B6" s="68" t="s">
        <v>165</v>
      </c>
      <c r="C6" s="89">
        <f>calculation!B13</f>
        <v>0</v>
      </c>
      <c r="D6" s="103"/>
      <c r="E6" s="103"/>
      <c r="F6" s="103"/>
      <c r="G6" s="103"/>
      <c r="H6" s="103"/>
      <c r="I6" s="103"/>
    </row>
    <row r="7" spans="1:9" x14ac:dyDescent="0.2">
      <c r="A7" s="53"/>
      <c r="B7" s="68" t="s">
        <v>166</v>
      </c>
      <c r="C7" s="89">
        <f>calculation!B14</f>
        <v>0</v>
      </c>
      <c r="D7" s="103"/>
      <c r="E7" s="103"/>
      <c r="F7" s="103"/>
      <c r="G7" s="103"/>
      <c r="H7" s="103"/>
      <c r="I7" s="103"/>
    </row>
    <row r="8" spans="1:9" x14ac:dyDescent="0.2">
      <c r="A8" s="53"/>
      <c r="B8" s="103" t="s">
        <v>11</v>
      </c>
      <c r="C8" s="88">
        <f>calculation!B48</f>
        <v>5</v>
      </c>
      <c r="D8" s="103"/>
      <c r="E8" s="103"/>
      <c r="F8" s="103"/>
      <c r="G8" s="103"/>
      <c r="H8" s="103"/>
      <c r="I8" s="103"/>
    </row>
    <row r="9" spans="1:9" x14ac:dyDescent="0.2">
      <c r="A9" s="53"/>
      <c r="B9" s="103" t="s">
        <v>120</v>
      </c>
      <c r="C9" s="88" t="str">
        <f>'New Input'!C19</f>
        <v>Timber</v>
      </c>
      <c r="D9" s="103"/>
      <c r="E9" s="103"/>
      <c r="F9" s="103"/>
      <c r="G9" s="103"/>
      <c r="H9" s="103"/>
      <c r="I9" s="103"/>
    </row>
    <row r="10" spans="1:9" x14ac:dyDescent="0.2">
      <c r="A10" s="53"/>
      <c r="B10" s="103" t="s">
        <v>253</v>
      </c>
      <c r="C10" s="103">
        <f>'New Input'!C26</f>
        <v>1.35</v>
      </c>
      <c r="D10" s="103"/>
      <c r="E10" s="103"/>
      <c r="F10" s="103"/>
      <c r="G10" s="103"/>
      <c r="H10" s="103"/>
      <c r="I10" s="103"/>
    </row>
    <row r="11" spans="1:9" x14ac:dyDescent="0.2">
      <c r="A11" s="53"/>
      <c r="B11" s="55"/>
      <c r="C11" s="55"/>
      <c r="D11" s="52"/>
      <c r="E11" s="53"/>
      <c r="F11" s="53"/>
      <c r="G11" s="53"/>
      <c r="H11" s="53"/>
      <c r="I11" s="53"/>
    </row>
    <row r="12" spans="1:9" x14ac:dyDescent="0.2">
      <c r="A12" s="53"/>
      <c r="B12" s="55"/>
      <c r="C12" s="55"/>
      <c r="D12" s="52"/>
      <c r="E12" s="53"/>
      <c r="F12" s="53"/>
      <c r="G12" s="53"/>
      <c r="H12" s="53"/>
      <c r="I12" s="53"/>
    </row>
    <row r="13" spans="1:9" x14ac:dyDescent="0.2">
      <c r="A13" s="53"/>
      <c r="B13" s="55"/>
      <c r="C13" s="55"/>
      <c r="D13" s="52"/>
      <c r="E13" s="53"/>
      <c r="F13" s="53"/>
      <c r="G13" s="53"/>
      <c r="H13" s="53"/>
      <c r="I13" s="53"/>
    </row>
    <row r="14" spans="1:9" x14ac:dyDescent="0.2">
      <c r="A14" s="53"/>
      <c r="B14" s="55"/>
      <c r="C14" s="55"/>
      <c r="D14" s="52"/>
      <c r="E14" s="53"/>
      <c r="F14" s="53"/>
      <c r="G14" s="53"/>
      <c r="H14" s="53"/>
      <c r="I14" s="53"/>
    </row>
    <row r="15" spans="1:9" x14ac:dyDescent="0.2">
      <c r="A15" s="53"/>
      <c r="B15" s="55"/>
      <c r="C15" s="55"/>
      <c r="D15" s="52"/>
      <c r="E15" s="53"/>
      <c r="F15" s="53"/>
      <c r="G15" s="53"/>
      <c r="H15" s="53"/>
      <c r="I15" s="53"/>
    </row>
    <row r="16" spans="1:9" x14ac:dyDescent="0.2">
      <c r="A16" s="53"/>
      <c r="B16" s="51" t="s">
        <v>25</v>
      </c>
      <c r="C16" s="55"/>
      <c r="D16" s="52"/>
      <c r="E16" s="53"/>
      <c r="F16" s="53"/>
      <c r="G16" s="53"/>
      <c r="H16" s="53"/>
      <c r="I16" s="53"/>
    </row>
    <row r="17" spans="1:17" x14ac:dyDescent="0.2">
      <c r="A17" s="53"/>
      <c r="B17" s="240" t="s">
        <v>85</v>
      </c>
      <c r="C17" s="240"/>
      <c r="D17" s="241"/>
      <c r="E17" s="241"/>
      <c r="F17" s="241"/>
      <c r="G17" s="241"/>
      <c r="H17" s="241"/>
      <c r="I17" s="241"/>
    </row>
    <row r="18" spans="1:17" x14ac:dyDescent="0.2">
      <c r="A18" s="53"/>
      <c r="B18" s="241"/>
      <c r="C18" s="241"/>
      <c r="D18" s="241"/>
      <c r="E18" s="241"/>
      <c r="F18" s="241"/>
      <c r="G18" s="241"/>
      <c r="H18" s="241"/>
      <c r="I18" s="241"/>
      <c r="L18" s="7"/>
      <c r="M18" s="7"/>
      <c r="N18" s="7"/>
      <c r="O18" s="7"/>
      <c r="P18" s="7"/>
      <c r="Q18" s="7"/>
    </row>
    <row r="19" spans="1:17" x14ac:dyDescent="0.2">
      <c r="A19" s="53"/>
      <c r="B19" s="51" t="s">
        <v>86</v>
      </c>
      <c r="C19" s="53"/>
      <c r="D19" s="56"/>
      <c r="E19" s="57"/>
      <c r="F19" s="57"/>
      <c r="G19" s="57"/>
      <c r="H19" s="57"/>
      <c r="I19" s="57"/>
      <c r="L19" s="19"/>
      <c r="M19" s="19"/>
      <c r="N19" s="19"/>
      <c r="O19" s="19"/>
      <c r="P19" s="19"/>
      <c r="Q19" s="19"/>
    </row>
    <row r="20" spans="1:17" ht="14.25" x14ac:dyDescent="0.25">
      <c r="A20" s="53"/>
      <c r="B20" s="55" t="s">
        <v>144</v>
      </c>
      <c r="C20" s="55"/>
      <c r="D20" s="61">
        <f>calculation!B6</f>
        <v>25.227773555263081</v>
      </c>
      <c r="E20" s="59" t="s">
        <v>2</v>
      </c>
      <c r="F20" s="60"/>
      <c r="G20" s="60"/>
      <c r="H20" s="60"/>
      <c r="I20" s="60"/>
      <c r="L20" s="19"/>
      <c r="M20" s="19"/>
      <c r="N20" s="19"/>
      <c r="O20" s="19"/>
      <c r="P20" s="19"/>
      <c r="Q20" s="19"/>
    </row>
    <row r="21" spans="1:17" ht="14.25" x14ac:dyDescent="0.25">
      <c r="A21" s="53"/>
      <c r="B21" s="53" t="s">
        <v>145</v>
      </c>
      <c r="C21" s="55"/>
      <c r="D21" s="61">
        <f>calculation!B1</f>
        <v>21.982137614639999</v>
      </c>
      <c r="E21" s="59" t="s">
        <v>2</v>
      </c>
      <c r="F21" s="60"/>
      <c r="G21" s="60"/>
      <c r="H21" s="60"/>
      <c r="I21" s="60"/>
    </row>
    <row r="22" spans="1:17" ht="14.25" x14ac:dyDescent="0.25">
      <c r="A22" s="53"/>
      <c r="B22" s="53" t="s">
        <v>146</v>
      </c>
      <c r="C22" s="55"/>
      <c r="D22" s="61">
        <f>calculation!B2</f>
        <v>1.1469992949511201</v>
      </c>
      <c r="E22" s="55" t="str">
        <f>IF(Input!F7="",calculation!I2,calculation!I3)</f>
        <v>Site Altitude  163m</v>
      </c>
      <c r="F22" s="53"/>
      <c r="G22" s="60"/>
      <c r="H22" s="60"/>
      <c r="I22" s="60"/>
    </row>
    <row r="23" spans="1:17" ht="14.25" x14ac:dyDescent="0.25">
      <c r="A23" s="53"/>
      <c r="B23" s="53" t="s">
        <v>147</v>
      </c>
      <c r="C23" s="55"/>
      <c r="D23" s="61">
        <f>calculation!B3</f>
        <v>1</v>
      </c>
      <c r="E23" s="51"/>
      <c r="F23" s="53"/>
      <c r="G23" s="53"/>
      <c r="H23" s="53"/>
      <c r="I23" s="53"/>
    </row>
    <row r="24" spans="1:17" ht="14.25" x14ac:dyDescent="0.25">
      <c r="A24" s="53"/>
      <c r="B24" s="53" t="s">
        <v>148</v>
      </c>
      <c r="C24" s="55"/>
      <c r="D24" s="61">
        <f>calculation!B4</f>
        <v>1</v>
      </c>
      <c r="E24" s="55"/>
      <c r="F24" s="53"/>
      <c r="G24" s="53"/>
      <c r="H24" s="53"/>
      <c r="I24" s="53"/>
      <c r="L24" s="7"/>
      <c r="M24" s="7"/>
      <c r="N24" s="7"/>
      <c r="O24" s="7"/>
      <c r="P24" s="7"/>
      <c r="Q24" s="7"/>
    </row>
    <row r="25" spans="1:17" ht="14.25" x14ac:dyDescent="0.25">
      <c r="A25" s="53"/>
      <c r="B25" s="53" t="s">
        <v>149</v>
      </c>
      <c r="C25" s="55"/>
      <c r="D25" s="61">
        <f>calculation!B5</f>
        <v>1.0005662526750301</v>
      </c>
      <c r="E25" s="55"/>
      <c r="F25" s="53"/>
      <c r="G25" s="53"/>
      <c r="H25" s="53"/>
      <c r="I25" s="53"/>
      <c r="L25" s="19"/>
      <c r="M25" s="19"/>
      <c r="N25" s="19"/>
      <c r="O25" s="19"/>
      <c r="P25" s="19"/>
      <c r="Q25" s="19"/>
    </row>
    <row r="26" spans="1:17" x14ac:dyDescent="0.2">
      <c r="A26" s="53"/>
      <c r="B26" s="51" t="s">
        <v>93</v>
      </c>
      <c r="C26" s="51"/>
      <c r="D26" s="61"/>
      <c r="E26" s="59"/>
      <c r="F26" s="60"/>
      <c r="G26" s="60"/>
      <c r="H26" s="60"/>
      <c r="I26" s="60"/>
      <c r="L26" s="19"/>
      <c r="M26" s="19"/>
      <c r="N26" s="19"/>
      <c r="O26" s="19"/>
      <c r="P26" s="19"/>
      <c r="Q26" s="19"/>
    </row>
    <row r="27" spans="1:17" ht="15.75" x14ac:dyDescent="0.25">
      <c r="A27" s="53"/>
      <c r="B27" s="55" t="s">
        <v>150</v>
      </c>
      <c r="C27" s="55"/>
      <c r="D27" s="61">
        <f>calculation!B7</f>
        <v>0.39013806239460197</v>
      </c>
      <c r="E27" s="62" t="s">
        <v>151</v>
      </c>
      <c r="F27" s="60"/>
      <c r="G27" s="60"/>
      <c r="H27" s="60"/>
      <c r="I27" s="60"/>
      <c r="L27" s="19"/>
      <c r="M27" s="19"/>
      <c r="N27" s="19"/>
      <c r="O27" s="19"/>
      <c r="P27" s="19"/>
      <c r="Q27" s="19"/>
    </row>
    <row r="28" spans="1:17" ht="14.25" x14ac:dyDescent="0.25">
      <c r="A28" s="53"/>
      <c r="B28" s="53" t="s">
        <v>260</v>
      </c>
      <c r="C28" s="53"/>
      <c r="D28" s="63">
        <f>calculation!B8</f>
        <v>1.0695273515116701</v>
      </c>
      <c r="E28" s="53"/>
      <c r="F28" s="59"/>
      <c r="G28" s="60"/>
      <c r="H28" s="52"/>
      <c r="I28" s="59"/>
    </row>
    <row r="29" spans="1:17" ht="14.25" x14ac:dyDescent="0.25">
      <c r="A29" s="53"/>
      <c r="B29" s="53" t="s">
        <v>153</v>
      </c>
      <c r="C29" s="53"/>
      <c r="D29" s="63">
        <f>calculation!B9</f>
        <v>2.7791999999999999</v>
      </c>
      <c r="E29" s="53"/>
      <c r="F29" s="59"/>
      <c r="G29" s="60"/>
      <c r="H29" s="52"/>
      <c r="I29" s="59"/>
      <c r="L29" s="7"/>
      <c r="M29" s="7"/>
      <c r="N29" s="7"/>
      <c r="O29" s="7"/>
      <c r="P29" s="7"/>
      <c r="Q29" s="7"/>
    </row>
    <row r="30" spans="1:17" ht="14.25" x14ac:dyDescent="0.25">
      <c r="A30" s="53"/>
      <c r="B30" s="53" t="s">
        <v>154</v>
      </c>
      <c r="C30" s="55"/>
      <c r="D30" s="63">
        <f>calculation!B10</f>
        <v>1</v>
      </c>
      <c r="E30" s="55"/>
      <c r="F30" s="53"/>
      <c r="G30" s="60"/>
      <c r="H30" s="60"/>
      <c r="I30" s="60"/>
      <c r="L30" s="7"/>
      <c r="M30" s="7"/>
      <c r="N30" s="7"/>
      <c r="O30" s="7"/>
      <c r="P30" s="7"/>
      <c r="Q30" s="7"/>
    </row>
    <row r="31" spans="1:17" x14ac:dyDescent="0.2">
      <c r="A31" s="53"/>
      <c r="B31" s="51" t="s">
        <v>95</v>
      </c>
      <c r="C31" s="51"/>
      <c r="D31" s="61"/>
      <c r="E31" s="55"/>
      <c r="F31" s="60"/>
      <c r="G31" s="60"/>
      <c r="H31" s="60"/>
      <c r="I31" s="60"/>
      <c r="L31" s="7"/>
      <c r="M31" s="7"/>
      <c r="N31" s="7"/>
      <c r="O31" s="7"/>
      <c r="P31" s="7"/>
      <c r="Q31" s="7"/>
    </row>
    <row r="32" spans="1:17" ht="15" x14ac:dyDescent="0.25">
      <c r="A32" s="53"/>
      <c r="B32" s="55" t="s">
        <v>155</v>
      </c>
      <c r="C32" s="55"/>
      <c r="D32" s="64">
        <f>calculation!B11</f>
        <v>1.18</v>
      </c>
      <c r="E32" s="62" t="s">
        <v>151</v>
      </c>
      <c r="F32" s="60"/>
      <c r="G32" s="60"/>
      <c r="H32" s="60"/>
      <c r="I32" s="60"/>
      <c r="L32" s="7"/>
      <c r="M32" s="7"/>
      <c r="N32" s="7"/>
      <c r="O32" s="7"/>
      <c r="P32" s="7"/>
      <c r="Q32" s="7"/>
    </row>
    <row r="33" spans="1:17" x14ac:dyDescent="0.2">
      <c r="A33" s="53"/>
      <c r="B33" s="51" t="s">
        <v>26</v>
      </c>
      <c r="C33" s="51"/>
      <c r="D33" s="52"/>
      <c r="E33" s="53"/>
      <c r="F33" s="53"/>
      <c r="G33" s="53"/>
      <c r="H33" s="53"/>
      <c r="I33" s="53"/>
      <c r="L33" s="19"/>
      <c r="M33" s="19"/>
      <c r="N33" s="19"/>
      <c r="O33" s="19"/>
      <c r="P33" s="19"/>
      <c r="Q33" s="19"/>
    </row>
    <row r="34" spans="1:17" ht="15" x14ac:dyDescent="0.2">
      <c r="A34" s="53"/>
      <c r="B34" s="55" t="s">
        <v>34</v>
      </c>
      <c r="C34" s="55"/>
      <c r="D34" s="52" t="str">
        <f>"Pitch  " &amp;calculation!B48</f>
        <v>Pitch  5</v>
      </c>
      <c r="E34" s="65" t="s">
        <v>30</v>
      </c>
      <c r="F34" s="53"/>
      <c r="G34" s="52"/>
      <c r="H34" s="53"/>
      <c r="I34" s="53"/>
      <c r="L34" s="19"/>
      <c r="M34" s="19"/>
      <c r="N34" s="19"/>
      <c r="O34" s="19"/>
      <c r="P34" s="19"/>
      <c r="Q34" s="19"/>
    </row>
    <row r="35" spans="1:17" x14ac:dyDescent="0.2">
      <c r="A35" s="53"/>
      <c r="B35" s="55" t="s">
        <v>27</v>
      </c>
      <c r="C35" s="55"/>
      <c r="D35" s="66" t="s">
        <v>10</v>
      </c>
      <c r="E35" s="66" t="s">
        <v>106</v>
      </c>
      <c r="F35" s="66" t="s">
        <v>107</v>
      </c>
      <c r="G35" s="66" t="s">
        <v>110</v>
      </c>
      <c r="H35" s="66" t="s">
        <v>113</v>
      </c>
      <c r="I35" s="66"/>
    </row>
    <row r="36" spans="1:17" ht="14.25" x14ac:dyDescent="0.25">
      <c r="A36" s="53"/>
      <c r="B36" s="55" t="s">
        <v>156</v>
      </c>
      <c r="C36" s="55"/>
      <c r="D36" s="60">
        <f>$D$32*D37</f>
        <v>-2.36</v>
      </c>
      <c r="E36" s="60">
        <f>$D$32*E37</f>
        <v>-1.4159999999999999</v>
      </c>
      <c r="F36" s="60">
        <f>$D$32*F37</f>
        <v>-0.70799999999999996</v>
      </c>
      <c r="G36" s="60">
        <f>$D$32*G37</f>
        <v>-1.298</v>
      </c>
      <c r="H36" s="60">
        <f>$D$32*H37</f>
        <v>-1.0620000000000001</v>
      </c>
      <c r="I36" s="60"/>
    </row>
    <row r="37" spans="1:17" ht="14.25" x14ac:dyDescent="0.25">
      <c r="A37" s="53"/>
      <c r="B37" s="55" t="s">
        <v>157</v>
      </c>
      <c r="C37" s="55"/>
      <c r="D37" s="66">
        <f>calculation!C48</f>
        <v>-2</v>
      </c>
      <c r="E37" s="66">
        <f>calculation!D48</f>
        <v>-1.2</v>
      </c>
      <c r="F37" s="66">
        <f>calculation!E48</f>
        <v>-0.6</v>
      </c>
      <c r="G37" s="66">
        <f>calculation!F48</f>
        <v>-1.1000000000000001</v>
      </c>
      <c r="H37" s="66">
        <f>calculation!G48</f>
        <v>-0.9</v>
      </c>
      <c r="I37" s="66"/>
    </row>
    <row r="38" spans="1:17" x14ac:dyDescent="0.2">
      <c r="A38" s="53"/>
      <c r="B38" s="55" t="s">
        <v>28</v>
      </c>
      <c r="C38" s="55"/>
      <c r="D38" s="66"/>
      <c r="E38" s="66"/>
      <c r="F38" s="66"/>
      <c r="G38" s="66"/>
      <c r="H38" s="66"/>
      <c r="I38" s="66"/>
    </row>
    <row r="39" spans="1:17" ht="14.25" x14ac:dyDescent="0.25">
      <c r="A39" s="53"/>
      <c r="B39" s="55" t="s">
        <v>158</v>
      </c>
      <c r="C39" s="55"/>
      <c r="D39" s="60">
        <f>$D$32*D40</f>
        <v>0.23599999999999999</v>
      </c>
      <c r="E39" s="60">
        <f>$D$32*E40</f>
        <v>0.23599999999999999</v>
      </c>
      <c r="F39" s="60">
        <f>$D$32*F40</f>
        <v>0.23599999999999999</v>
      </c>
      <c r="G39" s="60">
        <f>$D$32*G40</f>
        <v>0.23599999999999999</v>
      </c>
      <c r="H39" s="60">
        <f>$D$32*H40</f>
        <v>0.23599999999999999</v>
      </c>
      <c r="I39" s="60"/>
    </row>
    <row r="40" spans="1:17" ht="14.25" x14ac:dyDescent="0.25">
      <c r="A40" s="53"/>
      <c r="B40" s="55" t="s">
        <v>159</v>
      </c>
      <c r="C40" s="55"/>
      <c r="D40" s="66">
        <f>calculation!$C$20</f>
        <v>0.2</v>
      </c>
      <c r="E40" s="66">
        <f>calculation!$C$20</f>
        <v>0.2</v>
      </c>
      <c r="F40" s="66">
        <f>calculation!$C$20</f>
        <v>0.2</v>
      </c>
      <c r="G40" s="66">
        <f>calculation!$C$20</f>
        <v>0.2</v>
      </c>
      <c r="H40" s="66">
        <f>calculation!$C$20</f>
        <v>0.2</v>
      </c>
      <c r="I40" s="66"/>
    </row>
    <row r="41" spans="1:17" ht="15" x14ac:dyDescent="0.2">
      <c r="A41" s="53"/>
      <c r="B41" s="55" t="s">
        <v>160</v>
      </c>
      <c r="C41" s="55"/>
      <c r="D41" s="60">
        <f>(D36-D39)*1.35</f>
        <v>-3.5046000000000004</v>
      </c>
      <c r="E41" s="60">
        <f>(E36-E39)*1.35</f>
        <v>-2.2302</v>
      </c>
      <c r="F41" s="60">
        <f>(F36-F39)*1.35</f>
        <v>-1.2744</v>
      </c>
      <c r="G41" s="60">
        <f>(G36-G39)*1.35</f>
        <v>-2.0709</v>
      </c>
      <c r="H41" s="60">
        <f>(H36-H39)*1.35</f>
        <v>-1.7523000000000002</v>
      </c>
      <c r="I41" s="66"/>
    </row>
    <row r="42" spans="1:17" x14ac:dyDescent="0.2">
      <c r="A42" s="53"/>
      <c r="B42" s="55" t="s">
        <v>129</v>
      </c>
      <c r="C42" s="55"/>
      <c r="D42" s="60">
        <f>'New Input'!$C$26</f>
        <v>1.35</v>
      </c>
      <c r="E42" s="60">
        <f>'New Input'!$C$26</f>
        <v>1.35</v>
      </c>
      <c r="F42" s="60">
        <f>'New Input'!$C$26</f>
        <v>1.35</v>
      </c>
      <c r="G42" s="60">
        <f>'New Input'!$C$26</f>
        <v>1.35</v>
      </c>
      <c r="H42" s="60">
        <f>'New Input'!$C$26</f>
        <v>1.35</v>
      </c>
      <c r="I42" s="66"/>
    </row>
    <row r="43" spans="1:17" ht="14.25" x14ac:dyDescent="0.25">
      <c r="A43" s="53"/>
      <c r="B43" s="55" t="s">
        <v>262</v>
      </c>
      <c r="C43" s="55"/>
      <c r="D43" s="60">
        <f>D41*D42</f>
        <v>-4.7312100000000008</v>
      </c>
      <c r="E43" s="60">
        <f>E41*E42</f>
        <v>-3.0107699999999999</v>
      </c>
      <c r="F43" s="60">
        <f>F41*F42</f>
        <v>-1.7204400000000002</v>
      </c>
      <c r="G43" s="60">
        <f>G41*G42</f>
        <v>-2.795715</v>
      </c>
      <c r="H43" s="60">
        <f>H41*H42</f>
        <v>-2.3656050000000004</v>
      </c>
      <c r="I43" s="66"/>
    </row>
    <row r="44" spans="1:17" ht="15" x14ac:dyDescent="0.2">
      <c r="A44" s="53"/>
      <c r="B44" s="55" t="s">
        <v>174</v>
      </c>
      <c r="C44" s="53"/>
      <c r="D44" s="60">
        <f>(-D41/'New Input'!$C$27)</f>
        <v>7.5044967880085656</v>
      </c>
      <c r="E44" s="60">
        <f>(-E41/'New Input'!$C$27)</f>
        <v>4.7755888650963598</v>
      </c>
      <c r="F44" s="60">
        <f>(-F41/'New Input'!$C$27)</f>
        <v>2.7289079229122053</v>
      </c>
      <c r="G44" s="60">
        <f>(-G41/'New Input'!$C$27)</f>
        <v>4.434475374732334</v>
      </c>
      <c r="H44" s="60">
        <f>(-H41/'New Input'!$C$27)</f>
        <v>3.7522483940042828</v>
      </c>
      <c r="I44" s="66"/>
    </row>
    <row r="45" spans="1:17" x14ac:dyDescent="0.2">
      <c r="A45" s="53"/>
      <c r="B45" s="55"/>
      <c r="C45" s="53"/>
      <c r="D45" s="70"/>
      <c r="E45" s="70"/>
      <c r="F45" s="70"/>
      <c r="G45" s="70"/>
      <c r="H45" s="70"/>
      <c r="I45" s="66"/>
    </row>
    <row r="46" spans="1:17" x14ac:dyDescent="0.2">
      <c r="A46" s="53"/>
      <c r="B46" s="55"/>
      <c r="C46" s="53"/>
      <c r="D46" s="70"/>
      <c r="E46" s="70"/>
      <c r="F46" s="70"/>
      <c r="G46" s="70"/>
      <c r="H46" s="70"/>
      <c r="I46" s="66"/>
    </row>
    <row r="47" spans="1:17" x14ac:dyDescent="0.2">
      <c r="A47" s="53"/>
      <c r="B47" s="55"/>
      <c r="C47" s="53"/>
      <c r="D47" s="70"/>
      <c r="E47" s="70"/>
      <c r="F47" s="70"/>
      <c r="G47" s="70"/>
      <c r="H47" s="70"/>
      <c r="I47" s="66"/>
    </row>
    <row r="48" spans="1:17" x14ac:dyDescent="0.2">
      <c r="A48" s="53"/>
      <c r="B48" s="55"/>
      <c r="C48" s="53"/>
      <c r="D48" s="70"/>
      <c r="E48" s="70"/>
      <c r="F48" s="70"/>
      <c r="G48" s="70"/>
      <c r="H48" s="70"/>
      <c r="I48" s="66"/>
    </row>
    <row r="49" spans="1:9" x14ac:dyDescent="0.2">
      <c r="A49" s="53"/>
      <c r="B49" s="55"/>
      <c r="C49" s="53"/>
      <c r="D49" s="70"/>
      <c r="E49" s="70"/>
      <c r="F49" s="70"/>
      <c r="G49" s="70"/>
      <c r="H49" s="70"/>
      <c r="I49" s="66"/>
    </row>
    <row r="50" spans="1:9" x14ac:dyDescent="0.2">
      <c r="A50" s="53"/>
      <c r="B50" s="55"/>
      <c r="C50" s="53"/>
      <c r="D50" s="70"/>
      <c r="E50" s="70"/>
      <c r="F50" s="70"/>
      <c r="G50" s="70"/>
      <c r="H50" s="70"/>
      <c r="I50" s="66"/>
    </row>
    <row r="51" spans="1:9" x14ac:dyDescent="0.2">
      <c r="A51" s="53"/>
      <c r="B51" s="55"/>
      <c r="C51" s="53"/>
      <c r="D51" s="70"/>
      <c r="E51" s="70"/>
      <c r="F51" s="70"/>
      <c r="G51" s="70"/>
      <c r="H51" s="70"/>
      <c r="I51" s="66"/>
    </row>
    <row r="52" spans="1:9" x14ac:dyDescent="0.2">
      <c r="A52" s="53"/>
      <c r="B52" s="55"/>
      <c r="C52" s="53"/>
      <c r="D52" s="70"/>
      <c r="E52" s="70"/>
      <c r="F52" s="70"/>
      <c r="G52" s="70"/>
      <c r="H52" s="70"/>
      <c r="I52" s="66"/>
    </row>
    <row r="53" spans="1:9" x14ac:dyDescent="0.2">
      <c r="A53" s="53"/>
      <c r="B53" s="15"/>
      <c r="C53" s="15"/>
      <c r="D53" s="15"/>
      <c r="I53" s="60"/>
    </row>
    <row r="54" spans="1:9" x14ac:dyDescent="0.2">
      <c r="E54" s="225" t="s">
        <v>316</v>
      </c>
      <c r="F54" s="18"/>
      <c r="G54" s="18"/>
      <c r="H54" s="18"/>
      <c r="I54" s="18"/>
    </row>
    <row r="55" spans="1:9" x14ac:dyDescent="0.2">
      <c r="E55" s="1"/>
      <c r="F55" s="18"/>
      <c r="G55" s="18"/>
      <c r="H55" s="18"/>
      <c r="I55" s="18"/>
    </row>
    <row r="56" spans="1:9" x14ac:dyDescent="0.2">
      <c r="B56" s="45" t="s">
        <v>117</v>
      </c>
      <c r="C56" s="46"/>
      <c r="D56" s="46"/>
      <c r="E56" s="14"/>
      <c r="F56" s="14"/>
      <c r="G56" s="14"/>
      <c r="H56" s="14"/>
      <c r="I56" s="14"/>
    </row>
    <row r="57" spans="1:9" x14ac:dyDescent="0.2">
      <c r="B57" s="47" t="s">
        <v>118</v>
      </c>
      <c r="C57" s="48">
        <v>0.46700000000000003</v>
      </c>
      <c r="D57" s="47"/>
      <c r="I57" s="41"/>
    </row>
    <row r="58" spans="1:9" x14ac:dyDescent="0.2">
      <c r="E58" s="14"/>
      <c r="F58" s="14"/>
      <c r="G58" s="14"/>
      <c r="H58" s="14"/>
      <c r="I58" s="14"/>
    </row>
    <row r="59" spans="1:9" x14ac:dyDescent="0.2">
      <c r="C59" s="15"/>
      <c r="D59" s="14"/>
      <c r="E59" s="14"/>
      <c r="F59" s="14"/>
      <c r="G59" s="14"/>
      <c r="H59" s="14"/>
      <c r="I59" s="14"/>
    </row>
    <row r="60" spans="1:9" x14ac:dyDescent="0.2">
      <c r="C60" s="15"/>
      <c r="D60" s="42"/>
      <c r="E60" s="42"/>
      <c r="F60" s="42"/>
      <c r="G60" s="42"/>
      <c r="H60" s="42"/>
      <c r="I60" s="42"/>
    </row>
    <row r="61" spans="1:9" x14ac:dyDescent="0.2">
      <c r="C61" s="15"/>
      <c r="D61" s="42"/>
      <c r="E61" s="42"/>
      <c r="F61" s="42"/>
      <c r="G61" s="42"/>
      <c r="H61" s="42"/>
      <c r="I61" s="42"/>
    </row>
    <row r="62" spans="1:9" x14ac:dyDescent="0.2">
      <c r="C62" s="15"/>
      <c r="D62" s="41"/>
      <c r="E62" s="41"/>
      <c r="F62" s="41"/>
      <c r="G62" s="41"/>
      <c r="H62" s="41"/>
      <c r="I62" s="41"/>
    </row>
    <row r="63" spans="1:9" x14ac:dyDescent="0.2">
      <c r="D63" s="18"/>
      <c r="E63" s="18"/>
      <c r="F63" s="18"/>
      <c r="G63" s="18"/>
      <c r="H63" s="18"/>
      <c r="I63" s="18"/>
    </row>
    <row r="64" spans="1:9" x14ac:dyDescent="0.2">
      <c r="D64" s="14"/>
      <c r="E64" s="14"/>
      <c r="F64" s="14"/>
      <c r="G64" s="14"/>
      <c r="H64" s="14"/>
      <c r="I64" s="14"/>
    </row>
    <row r="65" spans="2:10" x14ac:dyDescent="0.2">
      <c r="D65" s="18"/>
      <c r="E65" s="18"/>
      <c r="F65" s="18"/>
      <c r="G65" s="18"/>
      <c r="H65" s="18"/>
      <c r="I65" s="18"/>
    </row>
    <row r="66" spans="2:10" x14ac:dyDescent="0.2">
      <c r="D66" s="16"/>
      <c r="E66" s="16"/>
      <c r="F66" s="16"/>
      <c r="G66" s="16"/>
      <c r="H66" s="16"/>
      <c r="I66" s="16"/>
    </row>
    <row r="72" spans="2:10" x14ac:dyDescent="0.2">
      <c r="B72" s="239" t="s">
        <v>173</v>
      </c>
      <c r="C72" s="239"/>
      <c r="D72" s="239"/>
      <c r="E72" s="239"/>
      <c r="F72" s="239"/>
      <c r="G72" s="53"/>
      <c r="H72" s="53"/>
      <c r="I72" s="53"/>
    </row>
    <row r="73" spans="2:10" x14ac:dyDescent="0.2">
      <c r="B73" s="74" t="s">
        <v>168</v>
      </c>
      <c r="C73" s="75"/>
      <c r="D73" s="76" t="s">
        <v>10</v>
      </c>
      <c r="E73" s="76" t="s">
        <v>106</v>
      </c>
      <c r="F73" s="76" t="s">
        <v>107</v>
      </c>
      <c r="G73" s="76" t="s">
        <v>110</v>
      </c>
      <c r="H73" s="76" t="s">
        <v>113</v>
      </c>
      <c r="I73" s="95"/>
      <c r="J73" s="192"/>
    </row>
    <row r="74" spans="2:10" x14ac:dyDescent="0.2">
      <c r="B74" s="77"/>
      <c r="C74" s="78"/>
      <c r="D74" s="118">
        <f>D44</f>
        <v>7.5044967880085656</v>
      </c>
      <c r="E74" s="118">
        <f>E44</f>
        <v>4.7755888650963598</v>
      </c>
      <c r="F74" s="118">
        <f>F44</f>
        <v>2.7289079229122053</v>
      </c>
      <c r="G74" s="118">
        <f t="shared" ref="G74:I74" si="0">G44</f>
        <v>4.434475374732334</v>
      </c>
      <c r="H74" s="118">
        <f t="shared" si="0"/>
        <v>3.7522483940042828</v>
      </c>
      <c r="I74" s="119">
        <f t="shared" si="0"/>
        <v>0</v>
      </c>
      <c r="J74" s="193"/>
    </row>
    <row r="76" spans="2:10" x14ac:dyDescent="0.2">
      <c r="B76" s="239" t="s">
        <v>258</v>
      </c>
      <c r="C76" s="239"/>
      <c r="D76" s="239"/>
      <c r="E76" s="239"/>
      <c r="F76" s="239"/>
      <c r="G76" s="97"/>
      <c r="H76" s="97"/>
      <c r="I76" s="97"/>
    </row>
    <row r="77" spans="2:10" x14ac:dyDescent="0.2">
      <c r="B77" s="74" t="s">
        <v>143</v>
      </c>
      <c r="C77" s="75"/>
      <c r="D77" s="76" t="s">
        <v>10</v>
      </c>
      <c r="E77" s="76" t="s">
        <v>106</v>
      </c>
      <c r="F77" s="76" t="s">
        <v>107</v>
      </c>
      <c r="G77" s="76" t="s">
        <v>110</v>
      </c>
      <c r="H77" s="76" t="s">
        <v>113</v>
      </c>
      <c r="I77" s="95"/>
      <c r="J77" s="194"/>
    </row>
    <row r="78" spans="2:10" x14ac:dyDescent="0.2">
      <c r="B78" s="80" t="s">
        <v>125</v>
      </c>
      <c r="C78" s="81"/>
      <c r="D78" s="82">
        <f>ROUNDUP(IF((2.88 * $D$74)&gt;6, 2.88*$D$74,6),0)</f>
        <v>22</v>
      </c>
      <c r="E78" s="82">
        <f>ROUNDUP(IF((2.88 *$E$74)&gt;6, 2.88*$E$74,6),0)</f>
        <v>14</v>
      </c>
      <c r="F78" s="82">
        <f>ROUNDUP(IF((2.88 *F74)&gt;6, 2.88*F74,6),0)</f>
        <v>8</v>
      </c>
      <c r="G78" s="82">
        <f>ROUNDUP(IF((2.88 *G74)&gt;6, 2.88*G74,6),0)</f>
        <v>13</v>
      </c>
      <c r="H78" s="82">
        <f>ROUNDUP(IF((2.88 *H74)&gt;6, 2.88*H74,6),0)</f>
        <v>11</v>
      </c>
      <c r="I78" s="98"/>
      <c r="J78" s="195"/>
    </row>
    <row r="79" spans="2:10" x14ac:dyDescent="0.2">
      <c r="B79" s="80" t="s">
        <v>126</v>
      </c>
      <c r="C79" s="83"/>
      <c r="D79" s="82">
        <f>ROUNDUP(IF((1.2 * $D$74)&gt;4, 1.2*$D$74,4),0)</f>
        <v>10</v>
      </c>
      <c r="E79" s="82">
        <f>ROUNDUP(IF((1.2 *$E$74)&gt;4, 1.2*$E$74,4),0)</f>
        <v>6</v>
      </c>
      <c r="F79" s="82">
        <f>ROUNDUP(IF((1.2 *F74)&gt;4, 1.2*F74,4),0)</f>
        <v>4</v>
      </c>
      <c r="G79" s="82">
        <f>ROUNDUP(IF((1.2 *G74)&gt;4, 1.2*G74,4),0)</f>
        <v>6</v>
      </c>
      <c r="H79" s="82">
        <f>ROUNDUP(IF((1.2 *H74)&gt;4, 1.2*H74,4),0)</f>
        <v>5</v>
      </c>
      <c r="I79" s="98"/>
      <c r="J79" s="195"/>
    </row>
    <row r="80" spans="2:10" x14ac:dyDescent="0.2">
      <c r="B80" s="80" t="s">
        <v>127</v>
      </c>
      <c r="C80" s="83"/>
      <c r="D80" s="82">
        <f>ROUNDUP(IF((1 * $D$74)&gt;4, 1*$D$74,4),0)</f>
        <v>8</v>
      </c>
      <c r="E80" s="82">
        <f>ROUNDUP(IF((1 *$E$74)&gt;4, 1*$E$74,4),0)</f>
        <v>5</v>
      </c>
      <c r="F80" s="82">
        <f>ROUNDUP(IF((1 *F74)&gt;4, 1*F74,4),0)</f>
        <v>4</v>
      </c>
      <c r="G80" s="82">
        <f>ROUNDUP(IF((1 *G74)&gt;4, 1*G74,4),0)</f>
        <v>5</v>
      </c>
      <c r="H80" s="82">
        <f>ROUNDUP(IF((1 *H74)&gt;4, 1*H74,4),0)</f>
        <v>4</v>
      </c>
      <c r="I80" s="98"/>
      <c r="J80" s="195"/>
    </row>
    <row r="81" spans="2:10" x14ac:dyDescent="0.2">
      <c r="B81" s="77" t="s">
        <v>128</v>
      </c>
      <c r="C81" s="78"/>
      <c r="D81" s="79">
        <f>ROUNDUP(IF((0.72 * $D$74)&gt;4, 0.72*$D$74,4),0)</f>
        <v>6</v>
      </c>
      <c r="E81" s="79">
        <f>ROUNDUP(IF((0.72 *$E$74)&gt;4, 0.72*$E$74,4),0)</f>
        <v>4</v>
      </c>
      <c r="F81" s="79">
        <f>ROUNDUP(IF((0.72 *F74)&gt;4, 0.72*F74,4),0)</f>
        <v>4</v>
      </c>
      <c r="G81" s="79">
        <f>ROUNDUP(IF((0.72 *G74)&gt;4, 0.72*G74,4),0)</f>
        <v>4</v>
      </c>
      <c r="H81" s="79">
        <f>ROUNDUP(IF((0.72 *H74)&gt;4, 0.72*H74,4),0)</f>
        <v>4</v>
      </c>
      <c r="I81" s="96"/>
      <c r="J81" s="196"/>
    </row>
    <row r="83" spans="2:10" x14ac:dyDescent="0.2">
      <c r="B83" s="229" t="s">
        <v>257</v>
      </c>
      <c r="C83" s="229"/>
      <c r="D83" s="229"/>
      <c r="E83" s="229"/>
      <c r="F83" s="229"/>
    </row>
    <row r="84" spans="2:10" x14ac:dyDescent="0.2">
      <c r="B84" s="74" t="s">
        <v>140</v>
      </c>
      <c r="C84" s="75"/>
      <c r="D84" s="91" t="s">
        <v>10</v>
      </c>
      <c r="E84" s="91" t="s">
        <v>106</v>
      </c>
      <c r="F84" s="91" t="s">
        <v>107</v>
      </c>
      <c r="G84" s="76" t="s">
        <v>110</v>
      </c>
      <c r="H84" s="76" t="s">
        <v>113</v>
      </c>
      <c r="I84" s="76"/>
      <c r="J84" s="192"/>
    </row>
    <row r="85" spans="2:10" x14ac:dyDescent="0.2">
      <c r="B85" s="84" t="s">
        <v>139</v>
      </c>
      <c r="C85" s="85"/>
      <c r="D85" s="86">
        <f>Calculator!Q120</f>
        <v>133.25343833818408</v>
      </c>
      <c r="E85" s="86">
        <f>Calculator!Q121</f>
        <v>209.39826024571786</v>
      </c>
      <c r="F85" s="86">
        <f>Calculator!Q122</f>
        <v>183.22347771500316</v>
      </c>
      <c r="G85" s="86">
        <f>Calculator!Q123</f>
        <v>225.50581872615771</v>
      </c>
      <c r="H85" s="86">
        <f>Calculator!Q124</f>
        <v>133.25343833818408</v>
      </c>
      <c r="I85" s="86"/>
      <c r="J85" s="197"/>
    </row>
    <row r="86" spans="2:10" x14ac:dyDescent="0.2">
      <c r="B86" s="80" t="s">
        <v>136</v>
      </c>
      <c r="C86" s="83"/>
      <c r="D86" s="116">
        <f>Calculator!R120</f>
        <v>7.5044967880085665</v>
      </c>
      <c r="E86" s="116">
        <f>Calculator!R121</f>
        <v>4.7755888650963598</v>
      </c>
      <c r="F86" s="116">
        <f>Calculator!R122</f>
        <v>5.4578158458244106</v>
      </c>
      <c r="G86" s="116">
        <f>Calculator!R123</f>
        <v>4.434475374732334</v>
      </c>
      <c r="H86" s="116">
        <f>Calculator!R124</f>
        <v>7.5044967880085665</v>
      </c>
      <c r="I86" s="116"/>
      <c r="J86" s="197"/>
    </row>
    <row r="87" spans="2:10" x14ac:dyDescent="0.2">
      <c r="B87" s="80" t="s">
        <v>135</v>
      </c>
      <c r="C87" s="83"/>
      <c r="D87" s="82">
        <f>Calculator!P120</f>
        <v>1</v>
      </c>
      <c r="E87" s="82">
        <f>Calculator!P121</f>
        <v>1</v>
      </c>
      <c r="F87" s="82">
        <f>Calculator!P122</f>
        <v>0</v>
      </c>
      <c r="G87" s="82">
        <f>Calculator!P123</f>
        <v>1</v>
      </c>
      <c r="H87" s="82">
        <f>Calculator!P124</f>
        <v>0</v>
      </c>
      <c r="I87" s="82"/>
      <c r="J87" s="197"/>
    </row>
    <row r="88" spans="2:10" x14ac:dyDescent="0.2">
      <c r="B88" s="80" t="s">
        <v>142</v>
      </c>
      <c r="C88" s="83"/>
      <c r="D88" s="82">
        <f>Calculator!S120</f>
        <v>1000</v>
      </c>
      <c r="E88" s="82">
        <f>Calculator!S121</f>
        <v>1000</v>
      </c>
      <c r="F88" s="82">
        <f>Calculator!S122</f>
        <v>2000</v>
      </c>
      <c r="G88" s="82">
        <f>Calculator!S123</f>
        <v>1000</v>
      </c>
      <c r="H88" s="82">
        <f>Calculator!S124</f>
        <v>2000</v>
      </c>
      <c r="I88" s="82"/>
      <c r="J88" s="197"/>
    </row>
    <row r="89" spans="2:10" x14ac:dyDescent="0.2">
      <c r="B89" s="80"/>
      <c r="C89" s="83"/>
      <c r="D89" s="82"/>
      <c r="E89" s="82"/>
      <c r="F89" s="82"/>
      <c r="G89" s="82"/>
      <c r="H89" s="82"/>
      <c r="I89" s="82"/>
      <c r="J89" s="197"/>
    </row>
    <row r="90" spans="2:10" x14ac:dyDescent="0.2">
      <c r="B90" s="80" t="s">
        <v>141</v>
      </c>
      <c r="C90" s="83"/>
      <c r="D90" s="81" t="s">
        <v>10</v>
      </c>
      <c r="E90" s="81" t="s">
        <v>106</v>
      </c>
      <c r="F90" s="81" t="s">
        <v>10</v>
      </c>
      <c r="G90" s="82" t="s">
        <v>110</v>
      </c>
      <c r="H90" s="82" t="s">
        <v>113</v>
      </c>
      <c r="I90" s="82"/>
      <c r="J90" s="197"/>
    </row>
    <row r="91" spans="2:10" x14ac:dyDescent="0.2">
      <c r="B91" s="84" t="s">
        <v>139</v>
      </c>
      <c r="C91" s="85"/>
      <c r="D91" s="86">
        <f>Calculator!Q127</f>
        <v>133.25343833818408</v>
      </c>
      <c r="E91" s="86">
        <f>Calculator!Q128</f>
        <v>209.39826024571786</v>
      </c>
      <c r="F91" s="86">
        <f>Calculator!Q129</f>
        <v>366.44695543000631</v>
      </c>
      <c r="G91" s="86">
        <f>Calculator!Q130</f>
        <v>225.50581872615771</v>
      </c>
      <c r="H91" s="86">
        <f>Calculator!Q131</f>
        <v>266.50687667636817</v>
      </c>
      <c r="I91" s="86"/>
      <c r="J91" s="197"/>
    </row>
    <row r="92" spans="2:10" x14ac:dyDescent="0.2">
      <c r="B92" s="80" t="s">
        <v>136</v>
      </c>
      <c r="C92" s="83"/>
      <c r="D92" s="116">
        <f>Calculator!R127</f>
        <v>7.5044967880085665</v>
      </c>
      <c r="E92" s="116">
        <f>Calculator!R128</f>
        <v>4.7755888650963598</v>
      </c>
      <c r="F92" s="116">
        <f>Calculator!R129</f>
        <v>2.7289079229122053</v>
      </c>
      <c r="G92" s="116">
        <f>Calculator!R130</f>
        <v>4.434475374732334</v>
      </c>
      <c r="H92" s="116">
        <f>Calculator!R131</f>
        <v>3.7522483940042832</v>
      </c>
      <c r="I92" s="116"/>
      <c r="J92" s="197"/>
    </row>
    <row r="93" spans="2:10" x14ac:dyDescent="0.2">
      <c r="B93" s="80" t="s">
        <v>135</v>
      </c>
      <c r="C93" s="83"/>
      <c r="D93" s="82">
        <f>Calculator!P127</f>
        <v>0</v>
      </c>
      <c r="E93" s="82">
        <f>Calculator!P128</f>
        <v>0</v>
      </c>
      <c r="F93" s="82">
        <f>Calculator!P129</f>
        <v>0</v>
      </c>
      <c r="G93" s="82">
        <f>Calculator!P130</f>
        <v>0</v>
      </c>
      <c r="H93" s="82">
        <f>Calculator!P131</f>
        <v>0</v>
      </c>
      <c r="I93" s="82"/>
      <c r="J93" s="197"/>
    </row>
    <row r="94" spans="2:10" x14ac:dyDescent="0.2">
      <c r="B94" s="77" t="s">
        <v>142</v>
      </c>
      <c r="C94" s="78"/>
      <c r="D94" s="79">
        <f>Calculator!S127</f>
        <v>1000</v>
      </c>
      <c r="E94" s="79">
        <f>Calculator!S128</f>
        <v>1000</v>
      </c>
      <c r="F94" s="79">
        <f>Calculator!S129</f>
        <v>1000</v>
      </c>
      <c r="G94" s="79">
        <f>Calculator!S130</f>
        <v>1000</v>
      </c>
      <c r="H94" s="79">
        <f>Calculator!S131</f>
        <v>1000</v>
      </c>
      <c r="I94" s="79"/>
      <c r="J94" s="193"/>
    </row>
    <row r="95" spans="2:10" x14ac:dyDescent="0.2">
      <c r="C95" s="16"/>
      <c r="D95" s="15"/>
      <c r="E95" s="13"/>
      <c r="F95" s="13"/>
    </row>
    <row r="96" spans="2:10" x14ac:dyDescent="0.2">
      <c r="B96" s="239" t="s">
        <v>318</v>
      </c>
      <c r="C96" s="239"/>
      <c r="D96" s="239"/>
      <c r="E96" s="239"/>
      <c r="F96" s="239"/>
      <c r="G96" s="97"/>
      <c r="H96" s="97"/>
      <c r="I96" s="97"/>
    </row>
    <row r="97" spans="2:10" x14ac:dyDescent="0.2">
      <c r="B97" s="74"/>
      <c r="C97" s="75"/>
      <c r="D97" s="76" t="s">
        <v>10</v>
      </c>
      <c r="E97" s="76" t="s">
        <v>106</v>
      </c>
      <c r="F97" s="76" t="s">
        <v>107</v>
      </c>
      <c r="G97" s="76" t="s">
        <v>110</v>
      </c>
      <c r="H97" s="76" t="s">
        <v>113</v>
      </c>
      <c r="I97" s="76"/>
      <c r="J97" s="192"/>
    </row>
    <row r="98" spans="2:10" x14ac:dyDescent="0.2">
      <c r="B98" s="84" t="s">
        <v>137</v>
      </c>
      <c r="C98" s="85"/>
      <c r="D98" s="87">
        <f>Calculator!F137</f>
        <v>-3</v>
      </c>
      <c r="E98" s="87">
        <f>Calculator!F138</f>
        <v>-3</v>
      </c>
      <c r="F98" s="87">
        <f>Calculator!F139</f>
        <v>-3</v>
      </c>
      <c r="G98" s="87">
        <f>Calculator!F140</f>
        <v>-3</v>
      </c>
      <c r="H98" s="87">
        <f>Calculator!F141</f>
        <v>-3</v>
      </c>
      <c r="I98" s="87"/>
      <c r="J98" s="197"/>
    </row>
    <row r="99" spans="2:10" ht="15" x14ac:dyDescent="0.2">
      <c r="B99" s="80" t="s">
        <v>160</v>
      </c>
      <c r="C99" s="83"/>
      <c r="D99" s="220">
        <f>D43</f>
        <v>-4.7312100000000008</v>
      </c>
      <c r="E99" s="220">
        <f t="shared" ref="E99:H99" si="1">E43</f>
        <v>-3.0107699999999999</v>
      </c>
      <c r="F99" s="220">
        <f t="shared" si="1"/>
        <v>-1.7204400000000002</v>
      </c>
      <c r="G99" s="220">
        <f t="shared" si="1"/>
        <v>-2.795715</v>
      </c>
      <c r="H99" s="220">
        <f t="shared" si="1"/>
        <v>-2.3656050000000004</v>
      </c>
      <c r="I99" s="220"/>
      <c r="J99" s="197"/>
    </row>
    <row r="100" spans="2:10" x14ac:dyDescent="0.2">
      <c r="B100" s="216" t="s">
        <v>138</v>
      </c>
      <c r="C100" s="83"/>
      <c r="D100" s="81"/>
      <c r="E100" s="81"/>
      <c r="F100" s="81"/>
      <c r="G100" s="81"/>
      <c r="H100" s="81"/>
      <c r="I100" s="87"/>
      <c r="J100" s="197"/>
    </row>
    <row r="101" spans="2:10" x14ac:dyDescent="0.2">
      <c r="B101" s="217" t="s">
        <v>171</v>
      </c>
      <c r="C101" s="83"/>
      <c r="D101" s="81"/>
      <c r="E101" s="81"/>
      <c r="F101" s="82"/>
      <c r="G101" s="81"/>
      <c r="H101" s="81"/>
      <c r="I101" s="87"/>
      <c r="J101" s="197"/>
    </row>
    <row r="102" spans="2:10" x14ac:dyDescent="0.2">
      <c r="B102" s="232" t="str">
        <f>IF(D99&gt;D98, " ","Additional mechanical restraint required in zones exceeding allowed maximum. Peelstop bars spaced at 1000mm, fixed either every crown(metal deck) or every 265mm (timber and concrete decks) and covered with coverstrap")</f>
        <v>Additional mechanical restraint required in zones exceeding allowed maximum. Peelstop bars spaced at 1000mm, fixed either every crown(metal deck) or every 265mm (timber and concrete decks) and covered with coverstrap</v>
      </c>
      <c r="C102" s="233"/>
      <c r="D102" s="233"/>
      <c r="E102" s="233"/>
      <c r="F102" s="233"/>
      <c r="G102" s="81"/>
      <c r="H102" s="81"/>
      <c r="I102" s="87"/>
      <c r="J102" s="197"/>
    </row>
    <row r="103" spans="2:10" x14ac:dyDescent="0.2">
      <c r="B103" s="232"/>
      <c r="C103" s="233"/>
      <c r="D103" s="233"/>
      <c r="E103" s="233"/>
      <c r="F103" s="233"/>
      <c r="G103" s="81"/>
      <c r="H103" s="81"/>
      <c r="I103" s="87"/>
      <c r="J103" s="197"/>
    </row>
    <row r="104" spans="2:10" x14ac:dyDescent="0.2">
      <c r="B104" s="235"/>
      <c r="C104" s="236"/>
      <c r="D104" s="236"/>
      <c r="E104" s="236"/>
      <c r="F104" s="236"/>
      <c r="G104" s="218"/>
      <c r="H104" s="218"/>
      <c r="I104" s="219"/>
      <c r="J104" s="193"/>
    </row>
    <row r="105" spans="2:10" x14ac:dyDescent="0.2">
      <c r="B105" s="15"/>
      <c r="C105" s="15"/>
      <c r="D105" s="15"/>
    </row>
    <row r="106" spans="2:10" x14ac:dyDescent="0.2">
      <c r="B106" s="239" t="s">
        <v>259</v>
      </c>
      <c r="C106" s="239"/>
      <c r="D106" s="239"/>
      <c r="E106" s="239"/>
      <c r="F106" s="239"/>
      <c r="G106" s="97"/>
      <c r="H106" s="97"/>
      <c r="I106" s="97"/>
    </row>
    <row r="107" spans="2:10" x14ac:dyDescent="0.2">
      <c r="B107" s="134"/>
      <c r="C107" s="135"/>
      <c r="D107" s="76" t="s">
        <v>10</v>
      </c>
      <c r="E107" s="76" t="s">
        <v>106</v>
      </c>
      <c r="F107" s="76" t="s">
        <v>107</v>
      </c>
      <c r="G107" s="76" t="s">
        <v>110</v>
      </c>
      <c r="H107" s="76" t="s">
        <v>113</v>
      </c>
      <c r="I107" s="76"/>
      <c r="J107" s="192"/>
    </row>
    <row r="108" spans="2:10" x14ac:dyDescent="0.2">
      <c r="B108" s="80" t="s">
        <v>170</v>
      </c>
      <c r="C108" s="83"/>
      <c r="D108" s="86">
        <f t="shared" ref="D108:H108" si="2">IF((D99*-100)&lt;80, 80,D99*-100)</f>
        <v>473.12100000000009</v>
      </c>
      <c r="E108" s="86">
        <f t="shared" si="2"/>
        <v>301.077</v>
      </c>
      <c r="F108" s="86">
        <f t="shared" si="2"/>
        <v>172.04400000000001</v>
      </c>
      <c r="G108" s="86">
        <f t="shared" si="2"/>
        <v>279.57150000000001</v>
      </c>
      <c r="H108" s="86">
        <f t="shared" si="2"/>
        <v>236.56050000000005</v>
      </c>
      <c r="I108" s="86"/>
      <c r="J108" s="197"/>
    </row>
    <row r="109" spans="2:10" x14ac:dyDescent="0.2">
      <c r="B109" s="80"/>
      <c r="C109" s="83"/>
      <c r="D109" s="128"/>
      <c r="E109" s="129"/>
      <c r="F109" s="129"/>
      <c r="G109" s="129"/>
      <c r="H109" s="129"/>
      <c r="I109" s="129"/>
      <c r="J109" s="197"/>
    </row>
    <row r="110" spans="2:10" x14ac:dyDescent="0.2">
      <c r="B110" s="80"/>
      <c r="C110" s="83"/>
      <c r="D110" s="128"/>
      <c r="E110" s="129"/>
      <c r="F110" s="129"/>
      <c r="G110" s="129"/>
      <c r="H110" s="129"/>
      <c r="I110" s="129"/>
      <c r="J110" s="197"/>
    </row>
    <row r="111" spans="2:10" x14ac:dyDescent="0.2">
      <c r="B111" s="77"/>
      <c r="C111" s="78"/>
      <c r="D111" s="131"/>
      <c r="E111" s="132"/>
      <c r="F111" s="132"/>
      <c r="G111" s="132"/>
      <c r="H111" s="132"/>
      <c r="I111" s="133"/>
      <c r="J111" s="193"/>
    </row>
  </sheetData>
  <mergeCells count="9">
    <mergeCell ref="B96:F96"/>
    <mergeCell ref="B102:F104"/>
    <mergeCell ref="B106:F106"/>
    <mergeCell ref="B1:I2"/>
    <mergeCell ref="B17:I18"/>
    <mergeCell ref="B72:F72"/>
    <mergeCell ref="B76:F76"/>
    <mergeCell ref="B83:F83"/>
    <mergeCell ref="C3:E3"/>
  </mergeCells>
  <phoneticPr fontId="0" type="noConversion"/>
  <conditionalFormatting sqref="D99">
    <cfRule type="cellIs" dxfId="46" priority="6" operator="greaterThan">
      <formula>$D$98</formula>
    </cfRule>
    <cfRule type="cellIs" dxfId="45" priority="12" operator="lessThan">
      <formula>$D$98</formula>
    </cfRule>
  </conditionalFormatting>
  <conditionalFormatting sqref="E99">
    <cfRule type="cellIs" dxfId="44" priority="5" operator="greaterThan">
      <formula>$E$98</formula>
    </cfRule>
    <cfRule type="cellIs" dxfId="43" priority="11" operator="lessThan">
      <formula>$E$98</formula>
    </cfRule>
  </conditionalFormatting>
  <conditionalFormatting sqref="F99">
    <cfRule type="cellIs" dxfId="42" priority="4" operator="greaterThan">
      <formula>$F$98</formula>
    </cfRule>
    <cfRule type="cellIs" dxfId="41" priority="10" operator="lessThan">
      <formula>$F$98</formula>
    </cfRule>
  </conditionalFormatting>
  <conditionalFormatting sqref="G99">
    <cfRule type="cellIs" dxfId="40" priority="3" operator="greaterThan">
      <formula>$G$98</formula>
    </cfRule>
    <cfRule type="cellIs" dxfId="39" priority="9" operator="lessThan">
      <formula>$G$98</formula>
    </cfRule>
  </conditionalFormatting>
  <conditionalFormatting sqref="H99">
    <cfRule type="cellIs" dxfId="38" priority="2" operator="greaterThan">
      <formula>$H$98</formula>
    </cfRule>
    <cfRule type="cellIs" dxfId="37" priority="8" operator="lessThan">
      <formula>$H$98</formula>
    </cfRule>
  </conditionalFormatting>
  <conditionalFormatting sqref="I99">
    <cfRule type="cellIs" dxfId="36" priority="1" operator="greaterThan">
      <formula>$I$98</formula>
    </cfRule>
    <cfRule type="cellIs" dxfId="35" priority="7" operator="lessThan">
      <formula>$I$98</formula>
    </cfRule>
  </conditionalFormatting>
  <pageMargins left="0.23622047244094491" right="0.23622047244094491" top="0.94488188976377963" bottom="0.55118110236220474" header="0.31496062992125984" footer="0.31496062992125984"/>
  <pageSetup paperSize="9" orientation="portrait" horizontalDpi="4294967293" r:id="rId1"/>
  <headerFooter alignWithMargins="0">
    <oddHeader>&amp;L&amp;G&amp;RTechnical Services Department
t:- 01257 488012
e:- polymeric.technical.uk@iko.com</oddHeader>
    <oddFooter>&amp;L&amp;D&amp;CPage &amp;P of &amp;N</oddFooter>
  </headerFooter>
  <rowBreaks count="1" manualBreakCount="1">
    <brk id="53" max="16383" man="1"/>
  </row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Q121"/>
  <sheetViews>
    <sheetView showZeros="0" showOutlineSymbols="0" view="pageLayout" topLeftCell="A85" zoomScaleNormal="100" workbookViewId="0">
      <selection activeCell="B97" sqref="B97"/>
    </sheetView>
  </sheetViews>
  <sheetFormatPr defaultRowHeight="12.75" x14ac:dyDescent="0.2"/>
  <cols>
    <col min="1" max="1" width="2.7109375" style="15" customWidth="1"/>
    <col min="2" max="2" width="19.28515625" style="12" customWidth="1"/>
    <col min="3" max="3" width="15.28515625" style="12" customWidth="1"/>
    <col min="4" max="4" width="7.85546875" style="13" customWidth="1"/>
    <col min="5" max="7" width="7.7109375" style="15" customWidth="1"/>
    <col min="8" max="8" width="6.140625" style="15" customWidth="1"/>
    <col min="9" max="9" width="7.85546875" style="15" customWidth="1"/>
    <col min="10" max="10" width="15.42578125" style="15" customWidth="1"/>
    <col min="11" max="11" width="2.7109375" style="15" customWidth="1"/>
    <col min="12" max="12" width="9.5703125" style="15" customWidth="1"/>
    <col min="13" max="16384" width="9.140625" style="15"/>
  </cols>
  <sheetData>
    <row r="1" spans="1:10" x14ac:dyDescent="0.2">
      <c r="A1" s="53"/>
      <c r="B1" s="230" t="str">
        <f>"Project:  " &amp; 'New Input'!C4</f>
        <v xml:space="preserve">Project:  </v>
      </c>
      <c r="C1" s="231"/>
      <c r="D1" s="231"/>
      <c r="E1" s="231"/>
      <c r="F1" s="231"/>
      <c r="G1" s="231"/>
      <c r="H1" s="231"/>
      <c r="I1" s="231"/>
      <c r="J1" s="190" t="s">
        <v>317</v>
      </c>
    </row>
    <row r="2" spans="1:10" x14ac:dyDescent="0.2">
      <c r="A2" s="53"/>
      <c r="B2" s="231"/>
      <c r="C2" s="231"/>
      <c r="D2" s="231"/>
      <c r="E2" s="231"/>
      <c r="F2" s="231"/>
      <c r="G2" s="231"/>
      <c r="H2" s="231"/>
      <c r="I2" s="231"/>
      <c r="J2" s="53"/>
    </row>
    <row r="3" spans="1:10" x14ac:dyDescent="0.2">
      <c r="A3" s="53"/>
      <c r="B3" s="67" t="s">
        <v>162</v>
      </c>
      <c r="C3" s="238" t="str">
        <f>Calculator!T2&amp;'New Input'!C2&amp;"-"&amp;'New Input'!C4</f>
        <v>WUC-SP-00-</v>
      </c>
      <c r="D3" s="238"/>
      <c r="E3" s="238"/>
      <c r="F3" s="103"/>
      <c r="G3" s="103"/>
      <c r="H3" s="103"/>
      <c r="I3" s="103"/>
      <c r="J3" s="53"/>
    </row>
    <row r="4" spans="1:10" x14ac:dyDescent="0.2">
      <c r="A4" s="53"/>
      <c r="B4" s="68" t="s">
        <v>163</v>
      </c>
      <c r="C4" s="141" t="str">
        <f>UPPER('New Input'!C8)</f>
        <v/>
      </c>
      <c r="D4" s="103"/>
      <c r="E4" s="103"/>
      <c r="F4" s="103"/>
      <c r="G4" s="103"/>
      <c r="H4" s="103"/>
      <c r="I4" s="103"/>
      <c r="J4" s="53"/>
    </row>
    <row r="5" spans="1:10" x14ac:dyDescent="0.2">
      <c r="A5" s="53"/>
      <c r="B5" s="68" t="s">
        <v>164</v>
      </c>
      <c r="C5" s="89">
        <f>calculation!B12</f>
        <v>0</v>
      </c>
      <c r="D5" s="103"/>
      <c r="E5" s="103"/>
      <c r="F5" s="103"/>
      <c r="G5" s="103"/>
      <c r="H5" s="103"/>
      <c r="I5" s="103"/>
      <c r="J5" s="53"/>
    </row>
    <row r="6" spans="1:10" x14ac:dyDescent="0.2">
      <c r="A6" s="53"/>
      <c r="B6" s="68" t="s">
        <v>165</v>
      </c>
      <c r="C6" s="89">
        <f>calculation!B13</f>
        <v>0</v>
      </c>
      <c r="D6" s="103"/>
      <c r="E6" s="103"/>
      <c r="F6" s="103"/>
      <c r="G6" s="103"/>
      <c r="H6" s="103"/>
      <c r="I6" s="103"/>
      <c r="J6" s="53"/>
    </row>
    <row r="7" spans="1:10" x14ac:dyDescent="0.2">
      <c r="A7" s="53"/>
      <c r="B7" s="68" t="s">
        <v>166</v>
      </c>
      <c r="C7" s="89">
        <f>calculation!B14</f>
        <v>0</v>
      </c>
      <c r="D7" s="103"/>
      <c r="E7" s="103"/>
      <c r="F7" s="103"/>
      <c r="G7" s="103"/>
      <c r="H7" s="103"/>
      <c r="I7" s="103"/>
      <c r="J7" s="53"/>
    </row>
    <row r="8" spans="1:10" x14ac:dyDescent="0.2">
      <c r="A8" s="53"/>
      <c r="B8" s="103" t="s">
        <v>11</v>
      </c>
      <c r="C8" s="88">
        <f>calculation!B60</f>
        <v>5</v>
      </c>
      <c r="D8" s="103"/>
      <c r="E8" s="103"/>
      <c r="F8" s="103"/>
      <c r="G8" s="103"/>
      <c r="H8" s="103"/>
      <c r="I8" s="103"/>
      <c r="J8" s="53"/>
    </row>
    <row r="9" spans="1:10" x14ac:dyDescent="0.2">
      <c r="A9" s="53"/>
      <c r="B9" s="103" t="s">
        <v>120</v>
      </c>
      <c r="C9" s="88" t="str">
        <f>'New Input'!C19</f>
        <v>Timber</v>
      </c>
      <c r="D9" s="103"/>
      <c r="E9" s="103"/>
      <c r="F9" s="103"/>
      <c r="G9" s="103"/>
      <c r="H9" s="103"/>
      <c r="I9" s="103"/>
      <c r="J9" s="53"/>
    </row>
    <row r="10" spans="1:10" x14ac:dyDescent="0.2">
      <c r="A10" s="53"/>
      <c r="B10" s="103" t="s">
        <v>253</v>
      </c>
      <c r="C10" s="103">
        <f>'New Input'!C26</f>
        <v>1.35</v>
      </c>
      <c r="D10" s="103"/>
      <c r="E10" s="103"/>
      <c r="F10" s="103"/>
      <c r="G10" s="103"/>
      <c r="H10" s="103"/>
      <c r="I10" s="103"/>
      <c r="J10" s="53"/>
    </row>
    <row r="11" spans="1:10" x14ac:dyDescent="0.2">
      <c r="A11" s="53"/>
      <c r="B11" s="103"/>
      <c r="C11" s="103"/>
      <c r="D11" s="103"/>
      <c r="E11" s="103"/>
      <c r="F11" s="103"/>
      <c r="G11" s="103"/>
      <c r="H11" s="103"/>
      <c r="I11" s="103"/>
      <c r="J11" s="53"/>
    </row>
    <row r="12" spans="1:10" x14ac:dyDescent="0.2">
      <c r="A12" s="53"/>
      <c r="B12" s="103"/>
      <c r="C12" s="103"/>
      <c r="D12" s="103"/>
      <c r="E12" s="103"/>
      <c r="F12" s="103"/>
      <c r="G12" s="103"/>
      <c r="H12" s="103"/>
      <c r="I12" s="103"/>
      <c r="J12" s="53"/>
    </row>
    <row r="13" spans="1:10" x14ac:dyDescent="0.2">
      <c r="A13" s="53"/>
      <c r="B13" s="103"/>
      <c r="C13" s="103"/>
      <c r="D13" s="103"/>
      <c r="E13" s="103"/>
      <c r="F13" s="103"/>
      <c r="G13" s="103"/>
      <c r="H13" s="103"/>
      <c r="I13" s="103"/>
      <c r="J13" s="53"/>
    </row>
    <row r="14" spans="1:10" x14ac:dyDescent="0.2">
      <c r="A14" s="53"/>
      <c r="B14" s="103"/>
      <c r="C14" s="103"/>
      <c r="D14" s="103"/>
      <c r="E14" s="103"/>
      <c r="F14" s="103"/>
      <c r="G14" s="103"/>
      <c r="H14" s="103"/>
      <c r="I14" s="103"/>
      <c r="J14" s="53"/>
    </row>
    <row r="15" spans="1:10" x14ac:dyDescent="0.2">
      <c r="A15" s="53"/>
      <c r="B15" s="103"/>
      <c r="C15" s="103"/>
      <c r="D15" s="103"/>
      <c r="E15" s="103"/>
      <c r="F15" s="103"/>
      <c r="G15" s="103"/>
      <c r="H15" s="103"/>
      <c r="I15" s="103"/>
      <c r="J15" s="53"/>
    </row>
    <row r="16" spans="1:10" x14ac:dyDescent="0.2">
      <c r="A16" s="53"/>
      <c r="B16" s="222" t="s">
        <v>25</v>
      </c>
      <c r="C16" s="103"/>
      <c r="D16" s="103"/>
      <c r="E16" s="103"/>
      <c r="F16" s="103"/>
      <c r="G16" s="103"/>
      <c r="H16" s="103"/>
      <c r="I16" s="103"/>
      <c r="J16" s="53"/>
    </row>
    <row r="17" spans="1:17" x14ac:dyDescent="0.2">
      <c r="A17" s="53"/>
      <c r="B17" s="240" t="s">
        <v>85</v>
      </c>
      <c r="C17" s="240"/>
      <c r="D17" s="241"/>
      <c r="E17" s="241"/>
      <c r="F17" s="241"/>
      <c r="G17" s="241"/>
      <c r="H17" s="241"/>
      <c r="I17" s="241"/>
      <c r="J17" s="53"/>
    </row>
    <row r="18" spans="1:17" x14ac:dyDescent="0.2">
      <c r="A18" s="53"/>
      <c r="B18" s="241"/>
      <c r="C18" s="241"/>
      <c r="D18" s="241"/>
      <c r="E18" s="241"/>
      <c r="F18" s="241"/>
      <c r="G18" s="241"/>
      <c r="H18" s="241"/>
      <c r="I18" s="241"/>
      <c r="J18" s="53"/>
      <c r="L18" s="7"/>
      <c r="M18" s="7"/>
      <c r="N18" s="7"/>
      <c r="O18" s="7"/>
      <c r="P18" s="7"/>
      <c r="Q18" s="7"/>
    </row>
    <row r="19" spans="1:17" x14ac:dyDescent="0.2">
      <c r="A19" s="53"/>
      <c r="B19" s="51" t="s">
        <v>86</v>
      </c>
      <c r="C19" s="53"/>
      <c r="D19" s="56"/>
      <c r="E19" s="57"/>
      <c r="F19" s="57"/>
      <c r="G19" s="57"/>
      <c r="H19" s="57"/>
      <c r="I19" s="57"/>
      <c r="J19" s="53"/>
      <c r="L19" s="19"/>
      <c r="M19" s="19"/>
      <c r="N19" s="19"/>
      <c r="O19" s="19"/>
      <c r="P19" s="19"/>
      <c r="Q19" s="19"/>
    </row>
    <row r="20" spans="1:17" ht="14.25" x14ac:dyDescent="0.25">
      <c r="A20" s="53"/>
      <c r="B20" s="55" t="s">
        <v>144</v>
      </c>
      <c r="C20" s="55"/>
      <c r="D20" s="61">
        <f>calculation!B6</f>
        <v>25.227773555263081</v>
      </c>
      <c r="E20" s="59" t="s">
        <v>2</v>
      </c>
      <c r="F20" s="60"/>
      <c r="G20" s="60"/>
      <c r="H20" s="60"/>
      <c r="I20" s="60"/>
      <c r="J20" s="53"/>
      <c r="L20" s="19"/>
      <c r="M20" s="19"/>
      <c r="N20" s="19"/>
      <c r="O20" s="19"/>
      <c r="P20" s="19"/>
      <c r="Q20" s="19"/>
    </row>
    <row r="21" spans="1:17" ht="14.25" x14ac:dyDescent="0.25">
      <c r="A21" s="53"/>
      <c r="B21" s="53" t="s">
        <v>145</v>
      </c>
      <c r="C21" s="55"/>
      <c r="D21" s="61">
        <f>calculation!B1</f>
        <v>21.982137614639999</v>
      </c>
      <c r="E21" s="59" t="s">
        <v>2</v>
      </c>
      <c r="F21" s="60"/>
      <c r="G21" s="60"/>
      <c r="H21" s="60"/>
      <c r="I21" s="60"/>
      <c r="J21" s="53"/>
    </row>
    <row r="22" spans="1:17" ht="14.25" x14ac:dyDescent="0.25">
      <c r="A22" s="53"/>
      <c r="B22" s="53" t="s">
        <v>146</v>
      </c>
      <c r="C22" s="55"/>
      <c r="D22" s="61">
        <f>calculation!B2</f>
        <v>1.1469992949511201</v>
      </c>
      <c r="E22" s="55" t="str">
        <f>IF(Input!F7="",calculation!I2,calculation!I3)</f>
        <v>Site Altitude  163m</v>
      </c>
      <c r="F22" s="53"/>
      <c r="G22" s="60"/>
      <c r="H22" s="60"/>
      <c r="I22" s="60"/>
      <c r="J22" s="53"/>
    </row>
    <row r="23" spans="1:17" ht="14.25" x14ac:dyDescent="0.25">
      <c r="A23" s="53"/>
      <c r="B23" s="53" t="s">
        <v>147</v>
      </c>
      <c r="C23" s="55"/>
      <c r="D23" s="61">
        <f>calculation!B3</f>
        <v>1</v>
      </c>
      <c r="E23" s="51"/>
      <c r="F23" s="53"/>
      <c r="G23" s="53"/>
      <c r="H23" s="53"/>
      <c r="I23" s="53"/>
      <c r="J23" s="53"/>
    </row>
    <row r="24" spans="1:17" ht="14.25" x14ac:dyDescent="0.25">
      <c r="A24" s="53"/>
      <c r="B24" s="53" t="s">
        <v>148</v>
      </c>
      <c r="C24" s="55"/>
      <c r="D24" s="61">
        <f>calculation!B4</f>
        <v>1</v>
      </c>
      <c r="E24" s="55"/>
      <c r="F24" s="53"/>
      <c r="G24" s="53"/>
      <c r="H24" s="53"/>
      <c r="I24" s="53"/>
      <c r="J24" s="53"/>
      <c r="L24" s="7"/>
      <c r="M24" s="7"/>
      <c r="N24" s="7"/>
      <c r="O24" s="7"/>
      <c r="P24" s="7"/>
      <c r="Q24" s="7"/>
    </row>
    <row r="25" spans="1:17" ht="14.25" x14ac:dyDescent="0.25">
      <c r="A25" s="53"/>
      <c r="B25" s="53" t="s">
        <v>149</v>
      </c>
      <c r="C25" s="55"/>
      <c r="D25" s="61">
        <f>calculation!B5</f>
        <v>1.0005662526750301</v>
      </c>
      <c r="E25" s="55"/>
      <c r="F25" s="53"/>
      <c r="G25" s="53"/>
      <c r="H25" s="53"/>
      <c r="I25" s="53"/>
      <c r="J25" s="53"/>
      <c r="L25" s="19"/>
      <c r="M25" s="19"/>
      <c r="N25" s="19"/>
      <c r="O25" s="19"/>
      <c r="P25" s="19"/>
      <c r="Q25" s="19"/>
    </row>
    <row r="26" spans="1:17" x14ac:dyDescent="0.2">
      <c r="A26" s="53"/>
      <c r="B26" s="51" t="s">
        <v>93</v>
      </c>
      <c r="C26" s="51"/>
      <c r="D26" s="61"/>
      <c r="E26" s="59"/>
      <c r="F26" s="60"/>
      <c r="G26" s="60"/>
      <c r="H26" s="60"/>
      <c r="I26" s="60"/>
      <c r="J26" s="53"/>
      <c r="L26" s="19"/>
      <c r="M26" s="19"/>
      <c r="N26" s="19"/>
      <c r="O26" s="19"/>
      <c r="P26" s="19"/>
      <c r="Q26" s="19"/>
    </row>
    <row r="27" spans="1:17" ht="15.75" x14ac:dyDescent="0.25">
      <c r="A27" s="53"/>
      <c r="B27" s="55" t="s">
        <v>150</v>
      </c>
      <c r="C27" s="55"/>
      <c r="D27" s="61">
        <f>calculation!B7</f>
        <v>0.39013806239460197</v>
      </c>
      <c r="E27" s="62" t="s">
        <v>151</v>
      </c>
      <c r="F27" s="60"/>
      <c r="G27" s="60"/>
      <c r="H27" s="60"/>
      <c r="I27" s="60"/>
      <c r="J27" s="53"/>
      <c r="L27" s="19"/>
      <c r="M27" s="19"/>
      <c r="N27" s="19"/>
      <c r="O27" s="19"/>
      <c r="P27" s="19"/>
      <c r="Q27" s="19"/>
    </row>
    <row r="28" spans="1:17" ht="14.25" x14ac:dyDescent="0.25">
      <c r="A28" s="53"/>
      <c r="B28" s="53" t="s">
        <v>260</v>
      </c>
      <c r="C28" s="53"/>
      <c r="D28" s="63">
        <f>calculation!B8</f>
        <v>1.0695273515116701</v>
      </c>
      <c r="E28" s="53"/>
      <c r="F28" s="59"/>
      <c r="G28" s="60"/>
      <c r="H28" s="52"/>
      <c r="I28" s="59"/>
      <c r="J28" s="53"/>
    </row>
    <row r="29" spans="1:17" ht="14.25" x14ac:dyDescent="0.25">
      <c r="A29" s="53"/>
      <c r="B29" s="53" t="s">
        <v>153</v>
      </c>
      <c r="C29" s="53"/>
      <c r="D29" s="63">
        <f>calculation!B9</f>
        <v>2.7791999999999999</v>
      </c>
      <c r="E29" s="53"/>
      <c r="F29" s="59"/>
      <c r="G29" s="60"/>
      <c r="H29" s="52"/>
      <c r="I29" s="59"/>
      <c r="J29" s="53"/>
      <c r="L29" s="7"/>
      <c r="M29" s="7"/>
      <c r="N29" s="7"/>
      <c r="O29" s="7"/>
      <c r="P29" s="7"/>
      <c r="Q29" s="7"/>
    </row>
    <row r="30" spans="1:17" ht="14.25" x14ac:dyDescent="0.25">
      <c r="A30" s="53"/>
      <c r="B30" s="53" t="s">
        <v>154</v>
      </c>
      <c r="C30" s="55"/>
      <c r="D30" s="63">
        <f>calculation!B10</f>
        <v>1</v>
      </c>
      <c r="E30" s="55"/>
      <c r="F30" s="53"/>
      <c r="G30" s="60"/>
      <c r="H30" s="60"/>
      <c r="I30" s="60"/>
      <c r="J30" s="53"/>
      <c r="L30" s="7"/>
      <c r="M30" s="7"/>
      <c r="N30" s="7"/>
      <c r="O30" s="7"/>
      <c r="P30" s="7"/>
      <c r="Q30" s="7"/>
    </row>
    <row r="31" spans="1:17" x14ac:dyDescent="0.2">
      <c r="A31" s="53"/>
      <c r="B31" s="51" t="s">
        <v>95</v>
      </c>
      <c r="C31" s="51"/>
      <c r="D31" s="61"/>
      <c r="E31" s="55"/>
      <c r="F31" s="60"/>
      <c r="G31" s="60"/>
      <c r="H31" s="60"/>
      <c r="I31" s="60"/>
      <c r="J31" s="53"/>
      <c r="L31" s="7"/>
      <c r="M31" s="7"/>
      <c r="N31" s="7"/>
      <c r="O31" s="7"/>
      <c r="P31" s="7"/>
      <c r="Q31" s="7"/>
    </row>
    <row r="32" spans="1:17" ht="15" x14ac:dyDescent="0.25">
      <c r="A32" s="53"/>
      <c r="B32" s="55" t="s">
        <v>155</v>
      </c>
      <c r="C32" s="55"/>
      <c r="D32" s="64">
        <f>calculation!B11</f>
        <v>1.18</v>
      </c>
      <c r="E32" s="62" t="s">
        <v>151</v>
      </c>
      <c r="F32" s="60"/>
      <c r="G32" s="60"/>
      <c r="H32" s="60"/>
      <c r="I32" s="60"/>
      <c r="J32" s="53"/>
      <c r="L32" s="7"/>
      <c r="M32" s="7"/>
      <c r="N32" s="7"/>
      <c r="O32" s="7"/>
      <c r="P32" s="7"/>
      <c r="Q32" s="7"/>
    </row>
    <row r="33" spans="1:17" x14ac:dyDescent="0.2">
      <c r="A33" s="53"/>
      <c r="B33" s="51" t="s">
        <v>26</v>
      </c>
      <c r="C33" s="51"/>
      <c r="D33" s="52"/>
      <c r="E33" s="53"/>
      <c r="F33" s="53"/>
      <c r="G33" s="53"/>
      <c r="H33" s="53"/>
      <c r="I33" s="53"/>
      <c r="J33" s="53"/>
      <c r="L33" s="19"/>
      <c r="M33" s="19"/>
      <c r="N33" s="19"/>
      <c r="O33" s="19"/>
      <c r="P33" s="19"/>
      <c r="Q33" s="19"/>
    </row>
    <row r="34" spans="1:17" ht="14.25" customHeight="1" x14ac:dyDescent="0.2">
      <c r="A34" s="53"/>
      <c r="B34" s="55" t="s">
        <v>49</v>
      </c>
      <c r="C34" s="55"/>
      <c r="D34" s="52" t="str">
        <f>"Maximum Pitch  " &amp;calculation!B48</f>
        <v>Maximum Pitch  5</v>
      </c>
      <c r="E34" s="65" t="s">
        <v>30</v>
      </c>
      <c r="F34" s="53"/>
      <c r="G34" s="52"/>
      <c r="H34" s="53"/>
      <c r="I34" s="53"/>
      <c r="J34" s="53"/>
      <c r="L34" s="19"/>
      <c r="M34" s="19"/>
      <c r="N34" s="19"/>
      <c r="O34" s="19"/>
      <c r="P34" s="19"/>
      <c r="Q34" s="19"/>
    </row>
    <row r="35" spans="1:17" x14ac:dyDescent="0.2">
      <c r="A35" s="53"/>
      <c r="B35" s="55" t="s">
        <v>27</v>
      </c>
      <c r="C35" s="55"/>
      <c r="D35" s="66" t="s">
        <v>10</v>
      </c>
      <c r="E35" s="66" t="s">
        <v>106</v>
      </c>
      <c r="F35" s="66" t="s">
        <v>107</v>
      </c>
      <c r="G35" s="66" t="s">
        <v>110</v>
      </c>
      <c r="H35" s="66"/>
      <c r="I35" s="66"/>
      <c r="J35" s="53"/>
    </row>
    <row r="36" spans="1:17" ht="14.25" x14ac:dyDescent="0.25">
      <c r="A36" s="53"/>
      <c r="B36" s="55" t="s">
        <v>156</v>
      </c>
      <c r="C36" s="55"/>
      <c r="D36" s="60">
        <f>$D$32*D37</f>
        <v>-2.36</v>
      </c>
      <c r="E36" s="60">
        <f>$D$32*E37</f>
        <v>-1.4159999999999999</v>
      </c>
      <c r="F36" s="60">
        <f>$D$32*F37</f>
        <v>-0.82599999999999996</v>
      </c>
      <c r="G36" s="60">
        <f>$D$32*G37</f>
        <v>-1.6519999999999999</v>
      </c>
      <c r="H36" s="60"/>
      <c r="I36" s="60"/>
      <c r="J36" s="53"/>
    </row>
    <row r="37" spans="1:17" ht="14.25" x14ac:dyDescent="0.25">
      <c r="A37" s="53"/>
      <c r="B37" s="55" t="s">
        <v>157</v>
      </c>
      <c r="C37" s="55"/>
      <c r="D37" s="66">
        <f>calculation!C60</f>
        <v>-2</v>
      </c>
      <c r="E37" s="66">
        <f>calculation!D60</f>
        <v>-1.2</v>
      </c>
      <c r="F37" s="66">
        <f>calculation!E60</f>
        <v>-0.7</v>
      </c>
      <c r="G37" s="66">
        <f>calculation!F60</f>
        <v>-1.4</v>
      </c>
      <c r="H37" s="66"/>
      <c r="I37" s="66"/>
      <c r="J37" s="53"/>
    </row>
    <row r="38" spans="1:17" x14ac:dyDescent="0.2">
      <c r="A38" s="53"/>
      <c r="B38" s="55" t="s">
        <v>28</v>
      </c>
      <c r="C38" s="55"/>
      <c r="D38" s="66"/>
      <c r="E38" s="66"/>
      <c r="F38" s="66"/>
      <c r="G38" s="66"/>
      <c r="H38" s="66"/>
      <c r="I38" s="66"/>
      <c r="J38" s="53"/>
    </row>
    <row r="39" spans="1:17" ht="14.25" x14ac:dyDescent="0.25">
      <c r="A39" s="53"/>
      <c r="B39" s="55" t="s">
        <v>158</v>
      </c>
      <c r="C39" s="55"/>
      <c r="D39" s="60">
        <f>$D$32*D40</f>
        <v>0.23599999999999999</v>
      </c>
      <c r="E39" s="60">
        <f>$D$32*E40</f>
        <v>0.23599999999999999</v>
      </c>
      <c r="F39" s="60">
        <f>$D$32*F40</f>
        <v>0.23599999999999999</v>
      </c>
      <c r="G39" s="60">
        <f>$D$32*G40</f>
        <v>0.23599999999999999</v>
      </c>
      <c r="H39" s="60"/>
      <c r="I39" s="60"/>
      <c r="J39" s="53"/>
    </row>
    <row r="40" spans="1:17" ht="14.25" x14ac:dyDescent="0.25">
      <c r="A40" s="53"/>
      <c r="B40" s="55" t="s">
        <v>159</v>
      </c>
      <c r="C40" s="55"/>
      <c r="D40" s="66">
        <f>calculation!$C$20</f>
        <v>0.2</v>
      </c>
      <c r="E40" s="66">
        <f>calculation!$C$20</f>
        <v>0.2</v>
      </c>
      <c r="F40" s="66">
        <f>calculation!$C$20</f>
        <v>0.2</v>
      </c>
      <c r="G40" s="66">
        <f>calculation!$C$20</f>
        <v>0.2</v>
      </c>
      <c r="H40" s="66"/>
      <c r="I40" s="66"/>
      <c r="J40" s="53"/>
    </row>
    <row r="41" spans="1:17" ht="15" x14ac:dyDescent="0.2">
      <c r="A41" s="53"/>
      <c r="B41" s="55" t="s">
        <v>160</v>
      </c>
      <c r="C41" s="55"/>
      <c r="D41" s="66"/>
      <c r="E41" s="66"/>
      <c r="F41" s="66"/>
      <c r="G41" s="66"/>
      <c r="H41" s="66"/>
      <c r="I41" s="66"/>
      <c r="J41" s="53"/>
    </row>
    <row r="42" spans="1:17" x14ac:dyDescent="0.2">
      <c r="A42" s="53"/>
      <c r="B42" s="55" t="s">
        <v>129</v>
      </c>
      <c r="C42" s="55"/>
      <c r="D42" s="66">
        <f>'New Input'!C26</f>
        <v>1.35</v>
      </c>
      <c r="E42" s="66">
        <f>'New Input'!C26</f>
        <v>1.35</v>
      </c>
      <c r="F42" s="66">
        <f>'New Input'!C26</f>
        <v>1.35</v>
      </c>
      <c r="G42" s="66">
        <f>'New Input'!C26</f>
        <v>1.35</v>
      </c>
      <c r="H42" s="66"/>
      <c r="I42" s="66"/>
      <c r="J42" s="53"/>
    </row>
    <row r="43" spans="1:17" ht="14.25" x14ac:dyDescent="0.25">
      <c r="A43" s="53"/>
      <c r="B43" s="55" t="s">
        <v>308</v>
      </c>
      <c r="C43" s="55"/>
      <c r="D43" s="60">
        <f>(D36-D39)*D42</f>
        <v>-3.5046000000000004</v>
      </c>
      <c r="E43" s="60">
        <f>(E36-E39)*E42</f>
        <v>-2.2302</v>
      </c>
      <c r="F43" s="60">
        <f>(F36-F39)*F42</f>
        <v>-1.4337</v>
      </c>
      <c r="G43" s="60">
        <f>(G36-G39)*G42</f>
        <v>-2.5488</v>
      </c>
      <c r="H43" s="66"/>
      <c r="I43" s="66"/>
      <c r="J43" s="53"/>
    </row>
    <row r="44" spans="1:17" ht="15" x14ac:dyDescent="0.2">
      <c r="A44" s="53"/>
      <c r="B44" s="55" t="s">
        <v>174</v>
      </c>
      <c r="C44" s="53"/>
      <c r="D44" s="60">
        <f>(-D43/'New Input'!$C$27)</f>
        <v>7.5044967880085656</v>
      </c>
      <c r="E44" s="60">
        <f>(-E43/'New Input'!$C$27)</f>
        <v>4.7755888650963598</v>
      </c>
      <c r="F44" s="60">
        <f>(-F43/'New Input'!$C$27)</f>
        <v>3.0700214132762311</v>
      </c>
      <c r="G44" s="60">
        <f>(-G43/'New Input'!$C$27)</f>
        <v>5.4578158458244106</v>
      </c>
      <c r="H44" s="66"/>
      <c r="I44" s="66"/>
      <c r="J44" s="53"/>
    </row>
    <row r="45" spans="1:17" x14ac:dyDescent="0.2">
      <c r="A45" s="53"/>
      <c r="B45" s="55"/>
      <c r="C45" s="53"/>
      <c r="D45" s="70"/>
      <c r="E45" s="70"/>
      <c r="F45" s="70"/>
      <c r="G45" s="70"/>
      <c r="H45" s="66"/>
      <c r="I45" s="66"/>
      <c r="J45" s="53"/>
    </row>
    <row r="46" spans="1:17" x14ac:dyDescent="0.2">
      <c r="A46" s="53"/>
      <c r="B46" s="55"/>
      <c r="C46" s="53"/>
      <c r="D46" s="70"/>
      <c r="E46" s="70"/>
      <c r="F46" s="70"/>
      <c r="G46" s="70"/>
      <c r="H46" s="66"/>
      <c r="I46" s="66"/>
      <c r="J46" s="53"/>
    </row>
    <row r="47" spans="1:17" x14ac:dyDescent="0.2">
      <c r="A47" s="53"/>
      <c r="B47" s="55"/>
      <c r="C47" s="53"/>
      <c r="D47" s="70"/>
      <c r="E47" s="70"/>
      <c r="F47" s="70"/>
      <c r="G47" s="70"/>
      <c r="H47" s="66"/>
      <c r="I47" s="66"/>
      <c r="J47" s="53"/>
    </row>
    <row r="48" spans="1:17" x14ac:dyDescent="0.2">
      <c r="A48" s="53"/>
      <c r="B48" s="55"/>
      <c r="C48" s="53"/>
      <c r="D48" s="70"/>
      <c r="E48" s="70"/>
      <c r="F48" s="70"/>
      <c r="G48" s="70"/>
      <c r="H48" s="66"/>
      <c r="I48" s="66"/>
      <c r="J48" s="53"/>
    </row>
    <row r="49" spans="1:10" x14ac:dyDescent="0.2">
      <c r="A49" s="53"/>
      <c r="B49" s="55"/>
      <c r="C49" s="53"/>
      <c r="D49" s="70"/>
      <c r="E49" s="70"/>
      <c r="F49" s="70"/>
      <c r="G49" s="70"/>
      <c r="H49" s="66"/>
      <c r="I49" s="66"/>
      <c r="J49" s="53"/>
    </row>
    <row r="50" spans="1:10" x14ac:dyDescent="0.2">
      <c r="A50" s="53"/>
      <c r="B50" s="55"/>
      <c r="C50" s="53"/>
      <c r="D50" s="70"/>
      <c r="E50" s="70"/>
      <c r="F50" s="70"/>
      <c r="G50" s="70"/>
      <c r="H50" s="66"/>
      <c r="I50" s="66"/>
      <c r="J50" s="53"/>
    </row>
    <row r="51" spans="1:10" x14ac:dyDescent="0.2">
      <c r="A51" s="53"/>
      <c r="B51" s="55"/>
      <c r="C51" s="53"/>
      <c r="D51" s="70"/>
      <c r="E51" s="70"/>
      <c r="F51" s="70"/>
      <c r="G51" s="70"/>
      <c r="H51" s="66"/>
      <c r="I51" s="66"/>
      <c r="J51" s="53"/>
    </row>
    <row r="52" spans="1:10" x14ac:dyDescent="0.2">
      <c r="A52" s="53"/>
      <c r="B52" s="55"/>
      <c r="C52" s="53"/>
      <c r="D52" s="70"/>
      <c r="E52" s="70"/>
      <c r="F52" s="70"/>
      <c r="G52" s="70"/>
      <c r="H52" s="66"/>
      <c r="I52" s="66"/>
      <c r="J52" s="53"/>
    </row>
    <row r="53" spans="1:10" x14ac:dyDescent="0.2">
      <c r="A53" s="53"/>
      <c r="B53" s="55"/>
      <c r="C53" s="53"/>
      <c r="D53" s="70"/>
      <c r="E53" s="70"/>
      <c r="F53" s="70"/>
      <c r="G53" s="70"/>
      <c r="H53" s="66"/>
      <c r="I53" s="66"/>
      <c r="J53" s="53"/>
    </row>
    <row r="54" spans="1:10" x14ac:dyDescent="0.2">
      <c r="A54" s="53"/>
      <c r="B54" s="55"/>
      <c r="C54" s="53"/>
      <c r="D54" s="70"/>
      <c r="E54" s="70"/>
      <c r="F54" s="70"/>
      <c r="G54" s="70"/>
      <c r="H54" s="66"/>
      <c r="I54" s="66"/>
      <c r="J54" s="53"/>
    </row>
    <row r="55" spans="1:10" x14ac:dyDescent="0.2">
      <c r="A55" s="53"/>
      <c r="B55" s="55"/>
      <c r="C55" s="53"/>
      <c r="D55" s="70"/>
      <c r="E55" s="70"/>
      <c r="F55" s="70"/>
      <c r="G55" s="70"/>
      <c r="H55" s="66"/>
      <c r="I55" s="66"/>
      <c r="J55" s="53"/>
    </row>
    <row r="56" spans="1:10" x14ac:dyDescent="0.2">
      <c r="A56" s="53"/>
      <c r="B56" s="55"/>
      <c r="C56" s="55"/>
      <c r="D56" s="52"/>
      <c r="E56" s="60"/>
      <c r="F56" s="60"/>
      <c r="G56" s="60"/>
      <c r="H56" s="60"/>
      <c r="I56" s="60"/>
      <c r="J56" s="53"/>
    </row>
    <row r="57" spans="1:10" x14ac:dyDescent="0.2">
      <c r="A57" s="53"/>
      <c r="B57" s="188" t="s">
        <v>117</v>
      </c>
      <c r="C57" s="189"/>
      <c r="D57" s="189"/>
      <c r="E57" s="53"/>
      <c r="F57" s="60"/>
      <c r="G57" s="60"/>
      <c r="H57" s="60"/>
      <c r="I57" s="60"/>
      <c r="J57" s="53"/>
    </row>
    <row r="58" spans="1:10" x14ac:dyDescent="0.2">
      <c r="A58" s="53"/>
      <c r="B58" s="190" t="s">
        <v>118</v>
      </c>
      <c r="C58" s="191">
        <v>0.46700000000000003</v>
      </c>
      <c r="D58" s="190" t="s">
        <v>119</v>
      </c>
      <c r="E58" s="66"/>
      <c r="F58" s="66"/>
      <c r="G58" s="66"/>
      <c r="H58" s="66"/>
      <c r="I58" s="60"/>
      <c r="J58" s="53"/>
    </row>
    <row r="59" spans="1:10" x14ac:dyDescent="0.2">
      <c r="A59" s="53"/>
      <c r="B59" s="55"/>
      <c r="C59" s="55"/>
      <c r="D59" s="52"/>
      <c r="E59" s="53"/>
      <c r="F59" s="53"/>
      <c r="G59" s="53"/>
      <c r="H59" s="105"/>
      <c r="I59" s="60"/>
      <c r="J59" s="53"/>
    </row>
    <row r="60" spans="1:10" x14ac:dyDescent="0.2">
      <c r="A60" s="53"/>
      <c r="B60" s="55"/>
      <c r="C60" s="55"/>
      <c r="D60" s="52"/>
      <c r="E60" s="66"/>
      <c r="F60" s="66"/>
      <c r="G60" s="66"/>
      <c r="H60" s="66"/>
      <c r="I60" s="60"/>
      <c r="J60" s="53"/>
    </row>
    <row r="61" spans="1:10" x14ac:dyDescent="0.2">
      <c r="A61" s="53"/>
      <c r="B61" s="55"/>
      <c r="C61" s="55"/>
      <c r="D61" s="52"/>
      <c r="E61" s="66"/>
      <c r="F61" s="66"/>
      <c r="G61" s="66"/>
      <c r="H61" s="66"/>
      <c r="I61" s="60"/>
      <c r="J61" s="53"/>
    </row>
    <row r="62" spans="1:10" x14ac:dyDescent="0.2">
      <c r="A62" s="53"/>
      <c r="B62" s="55"/>
      <c r="C62" s="53"/>
      <c r="D62" s="104"/>
      <c r="E62" s="104"/>
      <c r="F62" s="104"/>
      <c r="G62" s="104"/>
      <c r="H62" s="104"/>
      <c r="I62" s="60"/>
      <c r="J62" s="53"/>
    </row>
    <row r="63" spans="1:10" x14ac:dyDescent="0.2">
      <c r="A63" s="53"/>
      <c r="B63" s="55"/>
      <c r="C63" s="53"/>
      <c r="D63" s="104"/>
      <c r="E63" s="104"/>
      <c r="F63" s="104"/>
      <c r="G63" s="104"/>
      <c r="H63" s="104"/>
      <c r="I63" s="60"/>
      <c r="J63" s="53"/>
    </row>
    <row r="64" spans="1:10" x14ac:dyDescent="0.2">
      <c r="A64" s="53"/>
      <c r="B64" s="55"/>
      <c r="C64" s="53"/>
      <c r="D64" s="105"/>
      <c r="E64" s="105"/>
      <c r="F64" s="105"/>
      <c r="G64" s="105"/>
      <c r="H64" s="105"/>
      <c r="I64" s="60"/>
      <c r="J64" s="53"/>
    </row>
    <row r="65" spans="1:10" x14ac:dyDescent="0.2">
      <c r="A65" s="53"/>
      <c r="B65" s="55"/>
      <c r="C65" s="55"/>
      <c r="D65" s="66"/>
      <c r="E65" s="66"/>
      <c r="F65" s="66"/>
      <c r="G65" s="66"/>
      <c r="H65" s="66"/>
      <c r="I65" s="66"/>
      <c r="J65" s="53"/>
    </row>
    <row r="66" spans="1:10" x14ac:dyDescent="0.2">
      <c r="A66" s="53"/>
      <c r="B66" s="55"/>
      <c r="C66" s="55"/>
      <c r="D66" s="66"/>
      <c r="E66" s="66"/>
      <c r="F66" s="66"/>
      <c r="G66" s="66"/>
      <c r="H66" s="66"/>
      <c r="I66" s="66"/>
      <c r="J66" s="53"/>
    </row>
    <row r="67" spans="1:10" x14ac:dyDescent="0.2">
      <c r="A67" s="53"/>
      <c r="B67" s="55"/>
      <c r="C67" s="55"/>
      <c r="D67" s="60"/>
      <c r="E67" s="60"/>
      <c r="F67" s="60"/>
      <c r="G67" s="60"/>
      <c r="H67" s="60"/>
      <c r="I67" s="60"/>
      <c r="J67" s="53"/>
    </row>
    <row r="68" spans="1:10" x14ac:dyDescent="0.2">
      <c r="A68" s="53"/>
      <c r="B68" s="55"/>
      <c r="C68" s="55"/>
      <c r="D68" s="61"/>
      <c r="E68" s="61"/>
      <c r="F68" s="61"/>
      <c r="G68" s="61"/>
      <c r="H68" s="61"/>
      <c r="I68" s="61"/>
      <c r="J68" s="53"/>
    </row>
    <row r="69" spans="1:10" x14ac:dyDescent="0.2">
      <c r="A69" s="53"/>
      <c r="B69" s="55"/>
      <c r="C69" s="55"/>
      <c r="D69" s="52"/>
      <c r="E69" s="53"/>
      <c r="F69" s="53"/>
      <c r="G69" s="53"/>
      <c r="H69" s="53"/>
      <c r="I69" s="53"/>
      <c r="J69" s="53"/>
    </row>
    <row r="70" spans="1:10" x14ac:dyDescent="0.2">
      <c r="A70" s="53"/>
      <c r="B70" s="55"/>
      <c r="C70" s="55"/>
      <c r="D70" s="52"/>
      <c r="E70" s="53"/>
      <c r="F70" s="53"/>
      <c r="G70" s="53"/>
      <c r="H70" s="53"/>
      <c r="I70" s="53"/>
      <c r="J70" s="53"/>
    </row>
    <row r="71" spans="1:10" x14ac:dyDescent="0.2">
      <c r="A71" s="53"/>
      <c r="B71" s="55"/>
      <c r="C71" s="55"/>
      <c r="D71" s="52"/>
      <c r="E71" s="53"/>
      <c r="F71" s="53"/>
      <c r="G71" s="53"/>
      <c r="H71" s="53"/>
      <c r="I71" s="53"/>
      <c r="J71" s="53"/>
    </row>
    <row r="72" spans="1:10" x14ac:dyDescent="0.2">
      <c r="B72" s="239" t="s">
        <v>173</v>
      </c>
      <c r="C72" s="239"/>
      <c r="D72" s="239"/>
      <c r="E72" s="239"/>
      <c r="F72" s="239"/>
      <c r="G72" s="53"/>
      <c r="H72" s="53"/>
      <c r="I72" s="53"/>
    </row>
    <row r="73" spans="1:10" x14ac:dyDescent="0.2">
      <c r="B73" s="74" t="s">
        <v>168</v>
      </c>
      <c r="C73" s="75"/>
      <c r="D73" s="76" t="s">
        <v>10</v>
      </c>
      <c r="E73" s="76" t="s">
        <v>106</v>
      </c>
      <c r="F73" s="76" t="s">
        <v>107</v>
      </c>
      <c r="G73" s="76" t="s">
        <v>110</v>
      </c>
      <c r="H73" s="76"/>
      <c r="I73" s="95"/>
      <c r="J73" s="192"/>
    </row>
    <row r="74" spans="1:10" x14ac:dyDescent="0.2">
      <c r="B74" s="77"/>
      <c r="C74" s="78"/>
      <c r="D74" s="118">
        <f>D44</f>
        <v>7.5044967880085656</v>
      </c>
      <c r="E74" s="118">
        <f>E44</f>
        <v>4.7755888650963598</v>
      </c>
      <c r="F74" s="118">
        <f>F44</f>
        <v>3.0700214132762311</v>
      </c>
      <c r="G74" s="118">
        <f t="shared" ref="G74:I74" si="0">G44</f>
        <v>5.4578158458244106</v>
      </c>
      <c r="H74" s="118">
        <f t="shared" si="0"/>
        <v>0</v>
      </c>
      <c r="I74" s="119">
        <f t="shared" si="0"/>
        <v>0</v>
      </c>
      <c r="J74" s="193"/>
    </row>
    <row r="75" spans="1:10" x14ac:dyDescent="0.2">
      <c r="A75" s="53"/>
      <c r="B75" s="55"/>
      <c r="C75" s="55"/>
      <c r="D75" s="52"/>
      <c r="E75" s="53"/>
      <c r="F75" s="53"/>
      <c r="G75" s="53"/>
      <c r="H75" s="53"/>
      <c r="I75" s="53"/>
      <c r="J75" s="53"/>
    </row>
    <row r="76" spans="1:10" x14ac:dyDescent="0.2">
      <c r="A76" s="53"/>
      <c r="B76" s="239" t="s">
        <v>258</v>
      </c>
      <c r="C76" s="239"/>
      <c r="D76" s="239"/>
      <c r="E76" s="239"/>
      <c r="F76" s="239"/>
      <c r="G76" s="97"/>
      <c r="H76" s="97"/>
      <c r="I76" s="97"/>
    </row>
    <row r="77" spans="1:10" x14ac:dyDescent="0.2">
      <c r="A77" s="53"/>
      <c r="B77" s="74" t="s">
        <v>143</v>
      </c>
      <c r="C77" s="75"/>
      <c r="D77" s="76" t="s">
        <v>10</v>
      </c>
      <c r="E77" s="76" t="s">
        <v>106</v>
      </c>
      <c r="F77" s="76" t="s">
        <v>107</v>
      </c>
      <c r="G77" s="76" t="s">
        <v>110</v>
      </c>
      <c r="H77" s="76"/>
      <c r="I77" s="95"/>
      <c r="J77" s="194"/>
    </row>
    <row r="78" spans="1:10" x14ac:dyDescent="0.2">
      <c r="A78" s="53"/>
      <c r="B78" s="80" t="s">
        <v>125</v>
      </c>
      <c r="C78" s="81"/>
      <c r="D78" s="82">
        <f>ROUNDUP(IF((2.88 * $D$74)&gt;6, 2.88*$D$74,6),0)</f>
        <v>22</v>
      </c>
      <c r="E78" s="82">
        <f>ROUNDUP(IF((2.88 *$E$74)&gt;6, 2.88*$E$74,6),0)</f>
        <v>14</v>
      </c>
      <c r="F78" s="82">
        <f>ROUNDUP(IF((2.88 *F74)&gt;6, 2.88*F74,6),0)</f>
        <v>9</v>
      </c>
      <c r="G78" s="82">
        <f>ROUNDUP(IF((2.88 *G74)&gt;6, 2.88*G74,6),0)</f>
        <v>16</v>
      </c>
      <c r="H78" s="82"/>
      <c r="I78" s="98"/>
      <c r="J78" s="195"/>
    </row>
    <row r="79" spans="1:10" x14ac:dyDescent="0.2">
      <c r="A79" s="53"/>
      <c r="B79" s="80" t="s">
        <v>126</v>
      </c>
      <c r="C79" s="83"/>
      <c r="D79" s="82">
        <f>ROUNDUP(IF((1.2 * $D$74)&gt;4, 1.2*$D$74,4),0)</f>
        <v>10</v>
      </c>
      <c r="E79" s="82">
        <f>ROUNDUP(IF((1.2 *$E$74)&gt;4, 1.2*$E$74,4),0)</f>
        <v>6</v>
      </c>
      <c r="F79" s="82">
        <f>ROUNDUP(IF((1.2 *F74)&gt;4, 1.2*F74,4),0)</f>
        <v>4</v>
      </c>
      <c r="G79" s="82">
        <f>ROUNDUP(IF((1.2 *G74)&gt;4, 1.2*G74,4),0)</f>
        <v>7</v>
      </c>
      <c r="H79" s="82"/>
      <c r="I79" s="98"/>
      <c r="J79" s="195"/>
    </row>
    <row r="80" spans="1:10" x14ac:dyDescent="0.2">
      <c r="A80" s="53"/>
      <c r="B80" s="80" t="s">
        <v>127</v>
      </c>
      <c r="C80" s="83"/>
      <c r="D80" s="82">
        <f>ROUNDUP(IF((1 * $D$74)&gt;4, 1*$D$74,4),0)</f>
        <v>8</v>
      </c>
      <c r="E80" s="82">
        <f>ROUNDUP(IF((1 *$E$74)&gt;4, 1*$E$74,4),0)</f>
        <v>5</v>
      </c>
      <c r="F80" s="82">
        <f>ROUNDUP(IF((1 *F74)&gt;4, 1*F74,4),0)</f>
        <v>4</v>
      </c>
      <c r="G80" s="82">
        <f>ROUNDUP(IF((1 *G74)&gt;4, 1*G74,4),0)</f>
        <v>6</v>
      </c>
      <c r="H80" s="82"/>
      <c r="I80" s="98"/>
      <c r="J80" s="195"/>
    </row>
    <row r="81" spans="1:10" x14ac:dyDescent="0.2">
      <c r="A81" s="53"/>
      <c r="B81" s="77" t="s">
        <v>128</v>
      </c>
      <c r="C81" s="78"/>
      <c r="D81" s="79">
        <f>ROUNDUP(IF((0.72 * $D$74)&gt;4, 0.72*$D$74,4),0)</f>
        <v>6</v>
      </c>
      <c r="E81" s="79">
        <f>ROUNDUP(IF((0.72 *$E$74)&gt;4, 0.72*$E$74,4),0)</f>
        <v>4</v>
      </c>
      <c r="F81" s="79">
        <f>ROUNDUP(IF((0.72 *F74)&gt;4, 0.72*F74,4),0)</f>
        <v>4</v>
      </c>
      <c r="G81" s="79">
        <f>ROUNDUP(IF((0.72 *G74)&gt;4, 0.72*G74,4),0)</f>
        <v>4</v>
      </c>
      <c r="H81" s="79"/>
      <c r="I81" s="96"/>
      <c r="J81" s="196"/>
    </row>
    <row r="82" spans="1:10" x14ac:dyDescent="0.2">
      <c r="A82" s="53"/>
      <c r="B82" s="55"/>
      <c r="C82" s="55"/>
      <c r="D82" s="52"/>
      <c r="E82" s="53"/>
      <c r="F82" s="53"/>
      <c r="G82" s="53"/>
      <c r="H82" s="53"/>
      <c r="I82" s="53"/>
      <c r="J82" s="53"/>
    </row>
    <row r="83" spans="1:10" x14ac:dyDescent="0.2">
      <c r="B83" s="229" t="s">
        <v>257</v>
      </c>
      <c r="C83" s="229"/>
      <c r="D83" s="229"/>
      <c r="E83" s="229"/>
      <c r="F83" s="229"/>
    </row>
    <row r="84" spans="1:10" x14ac:dyDescent="0.2">
      <c r="B84" s="74" t="s">
        <v>140</v>
      </c>
      <c r="C84" s="75"/>
      <c r="D84" s="91" t="s">
        <v>10</v>
      </c>
      <c r="E84" s="91" t="s">
        <v>106</v>
      </c>
      <c r="F84" s="91" t="s">
        <v>107</v>
      </c>
      <c r="G84" s="76" t="s">
        <v>110</v>
      </c>
      <c r="H84" s="76"/>
      <c r="I84" s="76"/>
      <c r="J84" s="192"/>
    </row>
    <row r="85" spans="1:10" x14ac:dyDescent="0.2">
      <c r="B85" s="84" t="s">
        <v>139</v>
      </c>
      <c r="C85" s="85"/>
      <c r="D85" s="86">
        <f>Calculator!Q170</f>
        <v>133.25343833818408</v>
      </c>
      <c r="E85" s="86">
        <f>Calculator!Q171</f>
        <v>209.39826024571786</v>
      </c>
      <c r="F85" s="86">
        <f>Calculator!Q172</f>
        <v>162.86531352444723</v>
      </c>
      <c r="G85" s="86">
        <f>Calculator!Q173</f>
        <v>183.22347771500316</v>
      </c>
      <c r="H85" s="86"/>
      <c r="I85" s="86"/>
      <c r="J85" s="197"/>
    </row>
    <row r="86" spans="1:10" x14ac:dyDescent="0.2">
      <c r="B86" s="80" t="s">
        <v>136</v>
      </c>
      <c r="C86" s="83"/>
      <c r="D86" s="116">
        <f>Calculator!R170</f>
        <v>7.5044967880085665</v>
      </c>
      <c r="E86" s="116">
        <f>Calculator!R171</f>
        <v>4.7755888650963598</v>
      </c>
      <c r="F86" s="116">
        <f>Calculator!R172</f>
        <v>6.1400428265524623</v>
      </c>
      <c r="G86" s="116">
        <f>Calculator!R173</f>
        <v>5.4578158458244106</v>
      </c>
      <c r="H86" s="116"/>
      <c r="I86" s="116"/>
      <c r="J86" s="197"/>
    </row>
    <row r="87" spans="1:10" x14ac:dyDescent="0.2">
      <c r="B87" s="80" t="s">
        <v>135</v>
      </c>
      <c r="C87" s="83"/>
      <c r="D87" s="82">
        <f>Calculator!P170</f>
        <v>1</v>
      </c>
      <c r="E87" s="82">
        <f>Calculator!P171</f>
        <v>1</v>
      </c>
      <c r="F87" s="82">
        <f>Calculator!P172</f>
        <v>0</v>
      </c>
      <c r="G87" s="82">
        <f>Calculator!P173</f>
        <v>1</v>
      </c>
      <c r="H87" s="82"/>
      <c r="I87" s="82"/>
      <c r="J87" s="197"/>
    </row>
    <row r="88" spans="1:10" x14ac:dyDescent="0.2">
      <c r="B88" s="80" t="s">
        <v>142</v>
      </c>
      <c r="C88" s="83"/>
      <c r="D88" s="82">
        <f>Calculator!S170</f>
        <v>1000</v>
      </c>
      <c r="E88" s="82">
        <f>Calculator!S171</f>
        <v>1000</v>
      </c>
      <c r="F88" s="82">
        <f>Calculator!S172</f>
        <v>2000</v>
      </c>
      <c r="G88" s="82">
        <f>Calculator!S173</f>
        <v>1000</v>
      </c>
      <c r="H88" s="82"/>
      <c r="I88" s="82"/>
      <c r="J88" s="197"/>
    </row>
    <row r="89" spans="1:10" x14ac:dyDescent="0.2">
      <c r="B89" s="80"/>
      <c r="C89" s="83"/>
      <c r="D89" s="82"/>
      <c r="E89" s="82"/>
      <c r="F89" s="82"/>
      <c r="G89" s="82"/>
      <c r="H89" s="82"/>
      <c r="I89" s="82"/>
      <c r="J89" s="197"/>
    </row>
    <row r="90" spans="1:10" x14ac:dyDescent="0.2">
      <c r="B90" s="80" t="s">
        <v>141</v>
      </c>
      <c r="C90" s="83"/>
      <c r="D90" s="81" t="s">
        <v>10</v>
      </c>
      <c r="E90" s="81" t="s">
        <v>106</v>
      </c>
      <c r="F90" s="81" t="s">
        <v>10</v>
      </c>
      <c r="G90" s="82" t="s">
        <v>110</v>
      </c>
      <c r="H90" s="82"/>
      <c r="I90" s="82"/>
      <c r="J90" s="197"/>
    </row>
    <row r="91" spans="1:10" x14ac:dyDescent="0.2">
      <c r="B91" s="84" t="s">
        <v>139</v>
      </c>
      <c r="C91" s="85"/>
      <c r="D91" s="86">
        <f>Calculator!Q177</f>
        <v>133.25343833818408</v>
      </c>
      <c r="E91" s="86">
        <f>Calculator!Q178</f>
        <v>209.39826024571786</v>
      </c>
      <c r="F91" s="86">
        <f>Calculator!Q179</f>
        <v>325.73062704889446</v>
      </c>
      <c r="G91" s="86">
        <f>Calculator!Q180</f>
        <v>183.22347771500316</v>
      </c>
      <c r="H91" s="86"/>
      <c r="I91" s="86"/>
      <c r="J91" s="197"/>
    </row>
    <row r="92" spans="1:10" x14ac:dyDescent="0.2">
      <c r="B92" s="80" t="s">
        <v>136</v>
      </c>
      <c r="C92" s="83"/>
      <c r="D92" s="116">
        <f>Calculator!R177</f>
        <v>7.5044967880085665</v>
      </c>
      <c r="E92" s="116">
        <f>Calculator!R178</f>
        <v>4.7755888650963598</v>
      </c>
      <c r="F92" s="116">
        <f>Calculator!R179</f>
        <v>3.0700214132762311</v>
      </c>
      <c r="G92" s="116">
        <f>Calculator!R180</f>
        <v>5.4578158458244106</v>
      </c>
      <c r="H92" s="116"/>
      <c r="I92" s="116"/>
      <c r="J92" s="197"/>
    </row>
    <row r="93" spans="1:10" x14ac:dyDescent="0.2">
      <c r="B93" s="80" t="s">
        <v>135</v>
      </c>
      <c r="C93" s="83"/>
      <c r="D93" s="82">
        <f>Calculator!P177</f>
        <v>0</v>
      </c>
      <c r="E93" s="82">
        <f>Calculator!P178</f>
        <v>0</v>
      </c>
      <c r="F93" s="82">
        <f>Calculator!P179</f>
        <v>0</v>
      </c>
      <c r="G93" s="82">
        <f>Calculator!P180</f>
        <v>0</v>
      </c>
      <c r="H93" s="82"/>
      <c r="I93" s="82"/>
      <c r="J93" s="197"/>
    </row>
    <row r="94" spans="1:10" x14ac:dyDescent="0.2">
      <c r="B94" s="77" t="s">
        <v>142</v>
      </c>
      <c r="C94" s="78"/>
      <c r="D94" s="79">
        <f>Calculator!S177</f>
        <v>1000</v>
      </c>
      <c r="E94" s="79">
        <f>Calculator!S178</f>
        <v>1000</v>
      </c>
      <c r="F94" s="79">
        <f>Calculator!S179</f>
        <v>1000</v>
      </c>
      <c r="G94" s="79">
        <f>Calculator!S180</f>
        <v>1000</v>
      </c>
      <c r="H94" s="79"/>
      <c r="I94" s="79"/>
      <c r="J94" s="193"/>
    </row>
    <row r="95" spans="1:10" x14ac:dyDescent="0.2">
      <c r="B95" s="15"/>
      <c r="C95" s="15"/>
      <c r="D95" s="15"/>
    </row>
    <row r="96" spans="1:10" x14ac:dyDescent="0.2">
      <c r="B96" s="239" t="s">
        <v>318</v>
      </c>
      <c r="C96" s="239"/>
      <c r="D96" s="239"/>
      <c r="E96" s="239"/>
      <c r="F96" s="239"/>
      <c r="G96" s="97"/>
      <c r="H96" s="97"/>
      <c r="I96" s="97"/>
    </row>
    <row r="97" spans="1:10" x14ac:dyDescent="0.2">
      <c r="B97" s="74"/>
      <c r="C97" s="75"/>
      <c r="D97" s="76" t="s">
        <v>10</v>
      </c>
      <c r="E97" s="76" t="s">
        <v>106</v>
      </c>
      <c r="F97" s="76" t="s">
        <v>107</v>
      </c>
      <c r="G97" s="76" t="s">
        <v>110</v>
      </c>
      <c r="H97" s="76"/>
      <c r="I97" s="76"/>
      <c r="J97" s="192"/>
    </row>
    <row r="98" spans="1:10" x14ac:dyDescent="0.2">
      <c r="B98" s="84" t="s">
        <v>137</v>
      </c>
      <c r="C98" s="85"/>
      <c r="D98" s="87">
        <f>Calculator!F137</f>
        <v>-3</v>
      </c>
      <c r="E98" s="87">
        <f>Calculator!F138</f>
        <v>-3</v>
      </c>
      <c r="F98" s="87">
        <f>Calculator!F139</f>
        <v>-3</v>
      </c>
      <c r="G98" s="87">
        <f>Calculator!F140</f>
        <v>-3</v>
      </c>
      <c r="H98" s="87"/>
      <c r="I98" s="87"/>
      <c r="J98" s="197"/>
    </row>
    <row r="99" spans="1:10" ht="15" x14ac:dyDescent="0.2">
      <c r="B99" s="80" t="s">
        <v>160</v>
      </c>
      <c r="C99" s="83"/>
      <c r="D99" s="220">
        <f>D43</f>
        <v>-3.5046000000000004</v>
      </c>
      <c r="E99" s="220">
        <f t="shared" ref="E99:G99" si="1">E43</f>
        <v>-2.2302</v>
      </c>
      <c r="F99" s="220">
        <f t="shared" si="1"/>
        <v>-1.4337</v>
      </c>
      <c r="G99" s="220">
        <f t="shared" si="1"/>
        <v>-2.5488</v>
      </c>
      <c r="H99" s="220"/>
      <c r="I99" s="220"/>
      <c r="J99" s="197"/>
    </row>
    <row r="100" spans="1:10" x14ac:dyDescent="0.2">
      <c r="B100" s="216" t="s">
        <v>138</v>
      </c>
      <c r="C100" s="83"/>
      <c r="D100" s="81"/>
      <c r="E100" s="81"/>
      <c r="F100" s="81"/>
      <c r="G100" s="81"/>
      <c r="H100" s="81"/>
      <c r="I100" s="87"/>
      <c r="J100" s="197"/>
    </row>
    <row r="101" spans="1:10" x14ac:dyDescent="0.2">
      <c r="B101" s="217" t="s">
        <v>171</v>
      </c>
      <c r="C101" s="83"/>
      <c r="D101" s="81"/>
      <c r="E101" s="81"/>
      <c r="F101" s="82"/>
      <c r="G101" s="81"/>
      <c r="H101" s="81"/>
      <c r="I101" s="87"/>
      <c r="J101" s="197"/>
    </row>
    <row r="102" spans="1:10" x14ac:dyDescent="0.2">
      <c r="B102" s="232" t="str">
        <f>IF(D99&gt;D98, " ","Additional mechanical restraint required in zones exceeding allowed maximum. Peelstop bars spaced at 1000mm, fixed either every crown(metal deck) or every 265mm (timber and concrete decks) and covered with coverstrap")</f>
        <v>Additional mechanical restraint required in zones exceeding allowed maximum. Peelstop bars spaced at 1000mm, fixed either every crown(metal deck) or every 265mm (timber and concrete decks) and covered with coverstrap</v>
      </c>
      <c r="C102" s="233"/>
      <c r="D102" s="233"/>
      <c r="E102" s="233"/>
      <c r="F102" s="233"/>
      <c r="G102" s="81"/>
      <c r="H102" s="81"/>
      <c r="I102" s="87"/>
      <c r="J102" s="197"/>
    </row>
    <row r="103" spans="1:10" x14ac:dyDescent="0.2">
      <c r="B103" s="232"/>
      <c r="C103" s="233"/>
      <c r="D103" s="233"/>
      <c r="E103" s="233"/>
      <c r="F103" s="233"/>
      <c r="G103" s="81"/>
      <c r="H103" s="81"/>
      <c r="I103" s="87"/>
      <c r="J103" s="197"/>
    </row>
    <row r="104" spans="1:10" x14ac:dyDescent="0.2">
      <c r="B104" s="235"/>
      <c r="C104" s="236"/>
      <c r="D104" s="236"/>
      <c r="E104" s="236"/>
      <c r="F104" s="236"/>
      <c r="G104" s="218"/>
      <c r="H104" s="218"/>
      <c r="I104" s="219"/>
      <c r="J104" s="193"/>
    </row>
    <row r="105" spans="1:10" x14ac:dyDescent="0.2">
      <c r="B105" s="15"/>
      <c r="C105" s="15"/>
      <c r="D105" s="15"/>
    </row>
    <row r="106" spans="1:10" x14ac:dyDescent="0.2">
      <c r="B106" s="239" t="s">
        <v>259</v>
      </c>
      <c r="C106" s="239"/>
      <c r="D106" s="239"/>
      <c r="E106" s="239"/>
      <c r="F106" s="239"/>
      <c r="G106" s="97"/>
      <c r="H106" s="97"/>
      <c r="I106" s="97"/>
    </row>
    <row r="107" spans="1:10" x14ac:dyDescent="0.2">
      <c r="B107" s="134"/>
      <c r="C107" s="135"/>
      <c r="D107" s="76" t="s">
        <v>10</v>
      </c>
      <c r="E107" s="76" t="s">
        <v>106</v>
      </c>
      <c r="F107" s="76" t="s">
        <v>107</v>
      </c>
      <c r="G107" s="76" t="s">
        <v>110</v>
      </c>
      <c r="H107" s="76"/>
      <c r="I107" s="76"/>
      <c r="J107" s="192"/>
    </row>
    <row r="108" spans="1:10" x14ac:dyDescent="0.2">
      <c r="B108" s="80" t="s">
        <v>170</v>
      </c>
      <c r="C108" s="83"/>
      <c r="D108" s="86">
        <f t="shared" ref="D108:G108" si="2">IF((D99*-100)&lt;80, 80,D99*-100)</f>
        <v>350.46000000000004</v>
      </c>
      <c r="E108" s="86">
        <f t="shared" si="2"/>
        <v>223.01999999999998</v>
      </c>
      <c r="F108" s="86">
        <f t="shared" si="2"/>
        <v>143.37</v>
      </c>
      <c r="G108" s="86">
        <f t="shared" si="2"/>
        <v>254.88</v>
      </c>
      <c r="H108" s="86"/>
      <c r="I108" s="86"/>
      <c r="J108" s="197"/>
    </row>
    <row r="109" spans="1:10" x14ac:dyDescent="0.2">
      <c r="B109" s="80"/>
      <c r="C109" s="83"/>
      <c r="D109" s="128"/>
      <c r="E109" s="129"/>
      <c r="F109" s="129"/>
      <c r="G109" s="129"/>
      <c r="H109" s="129"/>
      <c r="I109" s="129"/>
      <c r="J109" s="197"/>
    </row>
    <row r="110" spans="1:10" x14ac:dyDescent="0.2">
      <c r="B110" s="80"/>
      <c r="C110" s="83"/>
      <c r="D110" s="128"/>
      <c r="E110" s="129"/>
      <c r="F110" s="129"/>
      <c r="G110" s="129"/>
      <c r="H110" s="129"/>
      <c r="I110" s="129"/>
      <c r="J110" s="197"/>
    </row>
    <row r="111" spans="1:10" x14ac:dyDescent="0.2">
      <c r="B111" s="77"/>
      <c r="C111" s="78"/>
      <c r="D111" s="131"/>
      <c r="E111" s="132"/>
      <c r="F111" s="132"/>
      <c r="G111" s="132"/>
      <c r="H111" s="132"/>
      <c r="I111" s="133"/>
      <c r="J111" s="193"/>
    </row>
    <row r="112" spans="1:10" x14ac:dyDescent="0.2">
      <c r="A112" s="53"/>
      <c r="B112" s="15"/>
      <c r="C112" s="15"/>
      <c r="D112" s="15"/>
    </row>
    <row r="113" spans="1:9" x14ac:dyDescent="0.2">
      <c r="A113" s="53"/>
      <c r="B113" s="15"/>
      <c r="C113" s="15"/>
      <c r="D113" s="15"/>
    </row>
    <row r="114" spans="1:9" x14ac:dyDescent="0.2">
      <c r="A114" s="53"/>
      <c r="B114" s="15"/>
      <c r="C114" s="15"/>
      <c r="D114" s="15"/>
    </row>
    <row r="115" spans="1:9" x14ac:dyDescent="0.2">
      <c r="B115" s="40"/>
      <c r="C115" s="40"/>
      <c r="D115" s="40"/>
      <c r="E115" s="40"/>
      <c r="F115" s="40"/>
      <c r="G115" s="40"/>
      <c r="H115" s="40"/>
      <c r="I115" s="40"/>
    </row>
    <row r="116" spans="1:9" x14ac:dyDescent="0.2">
      <c r="B116" s="40"/>
      <c r="C116" s="40"/>
      <c r="D116" s="40"/>
      <c r="E116" s="40"/>
      <c r="F116" s="40"/>
      <c r="G116" s="40"/>
      <c r="H116" s="40"/>
      <c r="I116" s="40"/>
    </row>
    <row r="117" spans="1:9" x14ac:dyDescent="0.2">
      <c r="B117" s="40"/>
      <c r="C117" s="40"/>
      <c r="D117" s="40"/>
      <c r="E117" s="40"/>
      <c r="F117" s="40"/>
      <c r="G117" s="40"/>
      <c r="H117" s="40"/>
      <c r="I117" s="40"/>
    </row>
    <row r="118" spans="1:9" x14ac:dyDescent="0.2">
      <c r="B118" s="40"/>
      <c r="C118" s="40"/>
      <c r="D118" s="40"/>
      <c r="E118" s="40"/>
      <c r="F118" s="40"/>
      <c r="G118" s="40"/>
      <c r="H118" s="40"/>
      <c r="I118" s="40"/>
    </row>
    <row r="119" spans="1:9" x14ac:dyDescent="0.2">
      <c r="B119" s="40"/>
      <c r="C119" s="40"/>
      <c r="D119" s="40"/>
      <c r="E119" s="40"/>
      <c r="F119" s="40"/>
      <c r="G119" s="40"/>
      <c r="H119" s="40"/>
      <c r="I119" s="40"/>
    </row>
    <row r="120" spans="1:9" x14ac:dyDescent="0.2">
      <c r="B120" s="40"/>
      <c r="C120" s="40"/>
      <c r="D120" s="40"/>
      <c r="E120" s="40"/>
      <c r="F120" s="40"/>
      <c r="G120" s="40"/>
      <c r="H120" s="40"/>
      <c r="I120" s="40"/>
    </row>
    <row r="121" spans="1:9" x14ac:dyDescent="0.2">
      <c r="B121" s="40"/>
      <c r="C121" s="40"/>
      <c r="D121" s="40"/>
      <c r="E121" s="40"/>
      <c r="F121" s="40"/>
      <c r="G121" s="40"/>
      <c r="H121" s="40"/>
      <c r="I121" s="40"/>
    </row>
  </sheetData>
  <mergeCells count="9">
    <mergeCell ref="B83:F83"/>
    <mergeCell ref="B96:F96"/>
    <mergeCell ref="B102:F104"/>
    <mergeCell ref="B106:F106"/>
    <mergeCell ref="B1:I2"/>
    <mergeCell ref="B17:I18"/>
    <mergeCell ref="B72:F72"/>
    <mergeCell ref="B76:F76"/>
    <mergeCell ref="C3:E3"/>
  </mergeCells>
  <phoneticPr fontId="0" type="noConversion"/>
  <conditionalFormatting sqref="D99">
    <cfRule type="cellIs" dxfId="34" priority="6" operator="greaterThan">
      <formula>$D$98</formula>
    </cfRule>
    <cfRule type="cellIs" dxfId="33" priority="12" operator="lessThan">
      <formula>$D$98</formula>
    </cfRule>
  </conditionalFormatting>
  <conditionalFormatting sqref="E99">
    <cfRule type="cellIs" dxfId="32" priority="5" operator="greaterThan">
      <formula>$E$98</formula>
    </cfRule>
    <cfRule type="cellIs" dxfId="31" priority="11" operator="lessThan">
      <formula>$E$98</formula>
    </cfRule>
  </conditionalFormatting>
  <conditionalFormatting sqref="F99">
    <cfRule type="cellIs" dxfId="30" priority="4" operator="greaterThan">
      <formula>$F$98</formula>
    </cfRule>
    <cfRule type="cellIs" dxfId="29" priority="10" operator="lessThan">
      <formula>$F$98</formula>
    </cfRule>
  </conditionalFormatting>
  <conditionalFormatting sqref="G99">
    <cfRule type="cellIs" dxfId="28" priority="3" operator="greaterThan">
      <formula>$G$98</formula>
    </cfRule>
    <cfRule type="cellIs" dxfId="27" priority="9" operator="lessThan">
      <formula>$G$98</formula>
    </cfRule>
  </conditionalFormatting>
  <conditionalFormatting sqref="H99">
    <cfRule type="cellIs" dxfId="26" priority="2" operator="greaterThan">
      <formula>$H$98</formula>
    </cfRule>
    <cfRule type="cellIs" dxfId="25" priority="8" operator="lessThan">
      <formula>$H$98</formula>
    </cfRule>
  </conditionalFormatting>
  <conditionalFormatting sqref="I99">
    <cfRule type="cellIs" dxfId="24" priority="1" operator="greaterThan">
      <formula>$I$98</formula>
    </cfRule>
    <cfRule type="cellIs" dxfId="23" priority="7" operator="lessThan">
      <formula>$I$98</formula>
    </cfRule>
  </conditionalFormatting>
  <pageMargins left="0.23622047244094491" right="0.23622047244094491" top="0.94488188976377963" bottom="0.55118110236220474" header="0.31496062992125984" footer="0.31496062992125984"/>
  <pageSetup paperSize="9" orientation="portrait" horizontalDpi="4294967293" r:id="rId1"/>
  <headerFooter alignWithMargins="0">
    <oddHeader>&amp;L&amp;G&amp;RTechnical Services Department
t:- 01257 488012
e:- polymeric.technical.uk@iko.com</oddHeader>
    <oddFooter>&amp;L&amp;D&amp;CPage &amp;P of &amp;N</oddFooter>
  </headerFooter>
  <rowBreaks count="1" manualBreakCount="1">
    <brk id="55" max="16383" man="1"/>
  </rowBreaks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B34F9-70E5-411E-B63D-4F91861AFDA9}">
  <sheetPr codeName="Sheet10"/>
  <dimension ref="A1:T191"/>
  <sheetViews>
    <sheetView zoomScale="85" zoomScaleNormal="85" workbookViewId="0">
      <selection activeCell="C4" sqref="C4"/>
    </sheetView>
  </sheetViews>
  <sheetFormatPr defaultRowHeight="12.75" x14ac:dyDescent="0.2"/>
  <cols>
    <col min="1" max="1" width="12.140625" style="49" customWidth="1"/>
    <col min="2" max="4" width="9.140625" style="49"/>
    <col min="5" max="5" width="13.85546875" style="49" bestFit="1" customWidth="1"/>
    <col min="6" max="7" width="9.140625" style="49"/>
    <col min="8" max="8" width="12.140625" style="49" bestFit="1" customWidth="1"/>
    <col min="9" max="12" width="9.140625" style="49"/>
    <col min="13" max="13" width="11.5703125" style="49" bestFit="1" customWidth="1"/>
    <col min="14" max="14" width="9.140625" style="49"/>
    <col min="15" max="15" width="17.7109375" style="49" bestFit="1" customWidth="1"/>
    <col min="16" max="16" width="11.85546875" style="49" bestFit="1" customWidth="1"/>
    <col min="17" max="16384" width="9.140625" style="49"/>
  </cols>
  <sheetData>
    <row r="1" spans="1:20" x14ac:dyDescent="0.2">
      <c r="A1" s="214" t="s">
        <v>270</v>
      </c>
      <c r="B1" s="198"/>
      <c r="C1" s="199" t="s">
        <v>225</v>
      </c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200"/>
    </row>
    <row r="2" spans="1:20" x14ac:dyDescent="0.2">
      <c r="A2" s="201" t="s">
        <v>189</v>
      </c>
      <c r="B2" s="49">
        <f>'New Input'!D19</f>
        <v>0</v>
      </c>
      <c r="C2" s="185">
        <f>IF(B3&gt;0,B3,B2)</f>
        <v>0</v>
      </c>
      <c r="E2" s="184" t="s">
        <v>193</v>
      </c>
      <c r="F2" s="186" t="e">
        <f>Flat!D54</f>
        <v>#DIV/0!</v>
      </c>
      <c r="S2" s="202"/>
      <c r="T2" s="184" t="s">
        <v>169</v>
      </c>
    </row>
    <row r="3" spans="1:20" x14ac:dyDescent="0.2">
      <c r="A3" s="201" t="s">
        <v>190</v>
      </c>
      <c r="B3" s="49">
        <f>'New Input'!C20</f>
        <v>0</v>
      </c>
      <c r="E3" s="184" t="s">
        <v>194</v>
      </c>
      <c r="F3" s="186" t="e">
        <f>Flat!E54</f>
        <v>#DIV/0!</v>
      </c>
      <c r="S3" s="202"/>
    </row>
    <row r="4" spans="1:20" x14ac:dyDescent="0.2">
      <c r="A4" s="201" t="s">
        <v>191</v>
      </c>
      <c r="B4" s="49">
        <f>'New Input'!E19</f>
        <v>0</v>
      </c>
      <c r="E4" s="184" t="s">
        <v>195</v>
      </c>
      <c r="F4" s="186" t="e">
        <f>Flat!F54</f>
        <v>#DIV/0!</v>
      </c>
      <c r="S4" s="202"/>
    </row>
    <row r="5" spans="1:20" x14ac:dyDescent="0.2">
      <c r="A5" s="201" t="s">
        <v>192</v>
      </c>
      <c r="B5" s="49">
        <f>'New Input'!C21</f>
        <v>0</v>
      </c>
      <c r="C5" s="185">
        <f>IF(B5&gt;0,B5,B4)</f>
        <v>0</v>
      </c>
      <c r="S5" s="202"/>
    </row>
    <row r="6" spans="1:20" x14ac:dyDescent="0.2">
      <c r="A6" s="203"/>
      <c r="G6" s="184" t="s">
        <v>202</v>
      </c>
      <c r="H6" s="184" t="s">
        <v>204</v>
      </c>
      <c r="I6" s="184" t="s">
        <v>205</v>
      </c>
      <c r="J6" s="184" t="s">
        <v>206</v>
      </c>
      <c r="K6" s="184" t="s">
        <v>207</v>
      </c>
      <c r="L6" s="184" t="s">
        <v>208</v>
      </c>
      <c r="M6" s="184" t="s">
        <v>209</v>
      </c>
      <c r="N6" s="184" t="s">
        <v>224</v>
      </c>
      <c r="O6" s="184" t="s">
        <v>223</v>
      </c>
      <c r="S6" s="202"/>
    </row>
    <row r="7" spans="1:20" x14ac:dyDescent="0.2">
      <c r="A7" s="203"/>
      <c r="E7" s="184" t="s">
        <v>196</v>
      </c>
      <c r="F7" s="49" t="e">
        <f>F2*2</f>
        <v>#DIV/0!</v>
      </c>
      <c r="G7" s="186" t="e">
        <f>1000/F7</f>
        <v>#DIV/0!</v>
      </c>
      <c r="H7" s="49" t="e">
        <f>IF(G7&lt;120,1,0)</f>
        <v>#DIV/0!</v>
      </c>
      <c r="I7" s="49" t="e">
        <f>IF(G7&lt;60,1,0)</f>
        <v>#DIV/0!</v>
      </c>
      <c r="J7" s="49" t="e">
        <f>IF(G7&lt;30,1,0)</f>
        <v>#DIV/0!</v>
      </c>
      <c r="K7" s="49" t="e">
        <f>IF(G7&lt;15,1,0)</f>
        <v>#DIV/0!</v>
      </c>
      <c r="L7" s="49" t="e">
        <f>SUM(H7:K7)</f>
        <v>#DIV/0!</v>
      </c>
      <c r="M7" s="204" t="e">
        <f>2000/(1+L7)</f>
        <v>#DIV/0!</v>
      </c>
      <c r="N7" s="49" t="e">
        <f>F7/(1+L7)</f>
        <v>#DIV/0!</v>
      </c>
      <c r="O7" s="186" t="e">
        <f>1000/N7</f>
        <v>#DIV/0!</v>
      </c>
      <c r="S7" s="202"/>
    </row>
    <row r="8" spans="1:20" x14ac:dyDescent="0.2">
      <c r="A8" s="203"/>
      <c r="E8" s="184" t="s">
        <v>197</v>
      </c>
      <c r="F8" s="49" t="e">
        <f>F3*2</f>
        <v>#DIV/0!</v>
      </c>
      <c r="G8" s="186" t="e">
        <f>1000/F8</f>
        <v>#DIV/0!</v>
      </c>
      <c r="H8" s="49" t="e">
        <f>IF(G8&lt;120,1,0)</f>
        <v>#DIV/0!</v>
      </c>
      <c r="I8" s="49" t="e">
        <f>IF(G8&lt;60,1,0)</f>
        <v>#DIV/0!</v>
      </c>
      <c r="J8" s="49" t="e">
        <f>IF(G8&lt;30,1,0)</f>
        <v>#DIV/0!</v>
      </c>
      <c r="K8" s="49" t="e">
        <f>IF(G8&lt;15,1,0)</f>
        <v>#DIV/0!</v>
      </c>
      <c r="L8" s="49" t="e">
        <f>SUM(H8:K8)</f>
        <v>#DIV/0!</v>
      </c>
      <c r="M8" s="204" t="e">
        <f>2000/(1+L8)</f>
        <v>#DIV/0!</v>
      </c>
      <c r="N8" s="49" t="e">
        <f>F8/(1+L8)</f>
        <v>#DIV/0!</v>
      </c>
      <c r="O8" s="186" t="e">
        <f>1000/N8</f>
        <v>#DIV/0!</v>
      </c>
      <c r="S8" s="202"/>
    </row>
    <row r="9" spans="1:20" x14ac:dyDescent="0.2">
      <c r="A9" s="203"/>
      <c r="E9" s="184" t="s">
        <v>198</v>
      </c>
      <c r="F9" s="49" t="e">
        <f>F4*2</f>
        <v>#DIV/0!</v>
      </c>
      <c r="G9" s="186" t="e">
        <f>1000/F9</f>
        <v>#DIV/0!</v>
      </c>
      <c r="H9" s="49" t="e">
        <f>IF(G9&lt;120,1,0)</f>
        <v>#DIV/0!</v>
      </c>
      <c r="I9" s="49" t="e">
        <f>IF(G9&lt;60,1,0)</f>
        <v>#DIV/0!</v>
      </c>
      <c r="J9" s="49" t="e">
        <f>IF(G9&lt;30,1,0)</f>
        <v>#DIV/0!</v>
      </c>
      <c r="K9" s="49" t="e">
        <f>IF(G9&lt;15,1,0)</f>
        <v>#DIV/0!</v>
      </c>
      <c r="L9" s="49" t="e">
        <f>SUM(H9:K9)</f>
        <v>#DIV/0!</v>
      </c>
      <c r="M9" s="204" t="e">
        <f>2000/(1+L9)</f>
        <v>#DIV/0!</v>
      </c>
      <c r="N9" s="49" t="e">
        <f>F9/(1+L9)</f>
        <v>#DIV/0!</v>
      </c>
      <c r="O9" s="186" t="e">
        <f>1000/N9</f>
        <v>#DIV/0!</v>
      </c>
      <c r="S9" s="202"/>
    </row>
    <row r="10" spans="1:20" x14ac:dyDescent="0.2">
      <c r="A10" s="203"/>
      <c r="G10" s="186"/>
      <c r="M10" s="204"/>
      <c r="O10" s="186"/>
      <c r="S10" s="202"/>
    </row>
    <row r="11" spans="1:20" x14ac:dyDescent="0.2">
      <c r="A11" s="203"/>
      <c r="E11" s="184" t="s">
        <v>199</v>
      </c>
      <c r="F11" s="204" t="e">
        <f>F2</f>
        <v>#DIV/0!</v>
      </c>
      <c r="G11" s="186" t="e">
        <f>1000/F11</f>
        <v>#DIV/0!</v>
      </c>
      <c r="H11" s="49" t="e">
        <f>IF(G11&lt;120,1,0)</f>
        <v>#DIV/0!</v>
      </c>
      <c r="I11" s="49" t="e">
        <f>IF(G11&lt;60,1,0)</f>
        <v>#DIV/0!</v>
      </c>
      <c r="J11" s="49" t="e">
        <f>IF(G11&lt;30,1,0)</f>
        <v>#DIV/0!</v>
      </c>
      <c r="K11" s="49" t="e">
        <f>IF(G11&lt;15,1,0)</f>
        <v>#DIV/0!</v>
      </c>
      <c r="L11" s="49" t="e">
        <f>SUM(H11:K11)</f>
        <v>#DIV/0!</v>
      </c>
      <c r="M11" s="204" t="e">
        <f>1000/(1+L11)</f>
        <v>#DIV/0!</v>
      </c>
      <c r="N11" s="49" t="e">
        <f>F11/(1+L11)</f>
        <v>#DIV/0!</v>
      </c>
      <c r="O11" s="186" t="e">
        <f>1000/N11</f>
        <v>#DIV/0!</v>
      </c>
      <c r="S11" s="202"/>
    </row>
    <row r="12" spans="1:20" x14ac:dyDescent="0.2">
      <c r="A12" s="203"/>
      <c r="E12" s="184" t="s">
        <v>200</v>
      </c>
      <c r="F12" s="204" t="e">
        <f>F3</f>
        <v>#DIV/0!</v>
      </c>
      <c r="G12" s="186" t="e">
        <f>1000/F12</f>
        <v>#DIV/0!</v>
      </c>
      <c r="H12" s="49" t="e">
        <f>IF(G12&lt;120,1,0)</f>
        <v>#DIV/0!</v>
      </c>
      <c r="I12" s="49" t="e">
        <f>IF(G12&lt;60,1,0)</f>
        <v>#DIV/0!</v>
      </c>
      <c r="J12" s="49" t="e">
        <f>IF(G12&lt;30,1,0)</f>
        <v>#DIV/0!</v>
      </c>
      <c r="K12" s="49" t="e">
        <f>IF(G12&lt;15,1,0)</f>
        <v>#DIV/0!</v>
      </c>
      <c r="L12" s="49" t="e">
        <f>SUM(H12:K12)</f>
        <v>#DIV/0!</v>
      </c>
      <c r="M12" s="204" t="e">
        <f>1000/(1+L12)</f>
        <v>#DIV/0!</v>
      </c>
      <c r="N12" s="49" t="e">
        <f>F12/(1+L12)</f>
        <v>#DIV/0!</v>
      </c>
      <c r="O12" s="186" t="e">
        <f>1000/N12</f>
        <v>#DIV/0!</v>
      </c>
      <c r="S12" s="202"/>
    </row>
    <row r="13" spans="1:20" x14ac:dyDescent="0.2">
      <c r="A13" s="203"/>
      <c r="E13" s="184" t="s">
        <v>201</v>
      </c>
      <c r="F13" s="204" t="e">
        <f>F4</f>
        <v>#DIV/0!</v>
      </c>
      <c r="G13" s="186" t="e">
        <f>1000/F13</f>
        <v>#DIV/0!</v>
      </c>
      <c r="H13" s="49" t="e">
        <f>IF(G13&lt;120,1,0)</f>
        <v>#DIV/0!</v>
      </c>
      <c r="I13" s="49" t="e">
        <f>IF(G13&lt;60,1,0)</f>
        <v>#DIV/0!</v>
      </c>
      <c r="J13" s="49" t="e">
        <f>IF(G13&lt;30,1,0)</f>
        <v>#DIV/0!</v>
      </c>
      <c r="K13" s="49" t="e">
        <f>IF(G13&lt;15,1,0)</f>
        <v>#DIV/0!</v>
      </c>
      <c r="L13" s="49" t="e">
        <f>SUM(H13:K13)</f>
        <v>#DIV/0!</v>
      </c>
      <c r="M13" s="204" t="e">
        <f>1000/(1+L13)</f>
        <v>#DIV/0!</v>
      </c>
      <c r="N13" s="49" t="e">
        <f>F13/(1+L13)</f>
        <v>#DIV/0!</v>
      </c>
      <c r="O13" s="186" t="e">
        <f>1000/N13</f>
        <v>#DIV/0!</v>
      </c>
      <c r="S13" s="202"/>
    </row>
    <row r="14" spans="1:20" x14ac:dyDescent="0.2">
      <c r="A14" s="203"/>
      <c r="S14" s="202"/>
    </row>
    <row r="15" spans="1:20" x14ac:dyDescent="0.2">
      <c r="A15" s="203"/>
      <c r="D15" s="184" t="s">
        <v>241</v>
      </c>
      <c r="E15" s="184" t="s">
        <v>210</v>
      </c>
      <c r="S15" s="202"/>
    </row>
    <row r="16" spans="1:20" x14ac:dyDescent="0.2">
      <c r="A16" s="203"/>
      <c r="D16" s="49">
        <f>IF($B$5&gt;0,1,0)</f>
        <v>0</v>
      </c>
      <c r="E16" s="184">
        <f>IF($B$2+$B$3&gt;0,1,0)</f>
        <v>0</v>
      </c>
      <c r="O16" s="185"/>
      <c r="P16" s="185" t="s">
        <v>229</v>
      </c>
      <c r="Q16" s="185"/>
      <c r="S16" s="202"/>
    </row>
    <row r="17" spans="1:19" x14ac:dyDescent="0.2">
      <c r="A17" s="203"/>
      <c r="E17" s="184"/>
      <c r="G17" s="184" t="s">
        <v>218</v>
      </c>
      <c r="H17" s="184" t="s">
        <v>217</v>
      </c>
      <c r="I17" s="184" t="s">
        <v>219</v>
      </c>
      <c r="J17" s="184" t="s">
        <v>220</v>
      </c>
      <c r="K17" s="184" t="s">
        <v>221</v>
      </c>
      <c r="L17" s="184" t="s">
        <v>222</v>
      </c>
      <c r="O17" s="185"/>
      <c r="P17" s="185" t="s">
        <v>221</v>
      </c>
      <c r="Q17" s="185" t="s">
        <v>230</v>
      </c>
      <c r="R17" s="185" t="s">
        <v>231</v>
      </c>
      <c r="S17" s="205" t="s">
        <v>232</v>
      </c>
    </row>
    <row r="18" spans="1:19" x14ac:dyDescent="0.2">
      <c r="A18" s="203"/>
      <c r="E18" s="184" t="s">
        <v>211</v>
      </c>
      <c r="F18" s="49" t="e">
        <f>F2*2</f>
        <v>#DIV/0!</v>
      </c>
      <c r="G18" s="49">
        <f>C2</f>
        <v>0</v>
      </c>
      <c r="H18" s="49" t="e">
        <f>1000/G18</f>
        <v>#DIV/0!</v>
      </c>
      <c r="I18" s="186" t="e">
        <f>F18/H18</f>
        <v>#DIV/0!</v>
      </c>
      <c r="J18" s="186" t="e">
        <f>ROUNDUP(I18,-0.1)</f>
        <v>#DIV/0!</v>
      </c>
      <c r="K18" s="204" t="e">
        <f>J18-1</f>
        <v>#DIV/0!</v>
      </c>
      <c r="L18" s="204" t="e">
        <f>2000/J18</f>
        <v>#DIV/0!</v>
      </c>
      <c r="O18" s="185" t="s">
        <v>196</v>
      </c>
      <c r="P18" s="206" t="e">
        <f>IF($E$16&gt;0,K18,L7)</f>
        <v>#DIV/0!</v>
      </c>
      <c r="Q18" s="206" t="e">
        <f>IF($E$16&gt;0,G18,O7)</f>
        <v>#DIV/0!</v>
      </c>
      <c r="R18" s="207" t="e">
        <f>1000/Q18</f>
        <v>#DIV/0!</v>
      </c>
      <c r="S18" s="208" t="e">
        <f>2000/(1+P18)</f>
        <v>#DIV/0!</v>
      </c>
    </row>
    <row r="19" spans="1:19" x14ac:dyDescent="0.2">
      <c r="A19" s="203"/>
      <c r="E19" s="184" t="s">
        <v>212</v>
      </c>
      <c r="F19" s="49" t="e">
        <f>F3*2</f>
        <v>#DIV/0!</v>
      </c>
      <c r="G19" s="49">
        <f>C2</f>
        <v>0</v>
      </c>
      <c r="H19" s="49" t="e">
        <f>1000/G19</f>
        <v>#DIV/0!</v>
      </c>
      <c r="I19" s="186" t="e">
        <f>F19/H19</f>
        <v>#DIV/0!</v>
      </c>
      <c r="J19" s="186" t="e">
        <f>ROUNDUP(I19,-0.1)</f>
        <v>#DIV/0!</v>
      </c>
      <c r="K19" s="204" t="e">
        <f>J19-1</f>
        <v>#DIV/0!</v>
      </c>
      <c r="L19" s="204" t="e">
        <f>2000/J19</f>
        <v>#DIV/0!</v>
      </c>
      <c r="O19" s="185" t="s">
        <v>197</v>
      </c>
      <c r="P19" s="206" t="e">
        <f>IF($E$16&gt;0,K19,L8)</f>
        <v>#DIV/0!</v>
      </c>
      <c r="Q19" s="206" t="e">
        <f>IF($E$16&gt;0,G19,O8)</f>
        <v>#DIV/0!</v>
      </c>
      <c r="R19" s="207" t="e">
        <f>1000/Q19</f>
        <v>#DIV/0!</v>
      </c>
      <c r="S19" s="208" t="e">
        <f>2000/(1+P19)</f>
        <v>#DIV/0!</v>
      </c>
    </row>
    <row r="20" spans="1:19" x14ac:dyDescent="0.2">
      <c r="A20" s="203"/>
      <c r="E20" s="184" t="s">
        <v>213</v>
      </c>
      <c r="F20" s="49" t="e">
        <f>F4*2</f>
        <v>#DIV/0!</v>
      </c>
      <c r="G20" s="49">
        <f>C2</f>
        <v>0</v>
      </c>
      <c r="H20" s="49" t="e">
        <f>1000/G20</f>
        <v>#DIV/0!</v>
      </c>
      <c r="I20" s="186" t="e">
        <f>F20/H20</f>
        <v>#DIV/0!</v>
      </c>
      <c r="J20" s="186" t="e">
        <f>ROUNDUP(I20,-0.1)</f>
        <v>#DIV/0!</v>
      </c>
      <c r="K20" s="204" t="e">
        <f>J20-1</f>
        <v>#DIV/0!</v>
      </c>
      <c r="L20" s="204" t="e">
        <f>2000/J20</f>
        <v>#DIV/0!</v>
      </c>
      <c r="O20" s="185" t="s">
        <v>198</v>
      </c>
      <c r="P20" s="206" t="e">
        <f>IF($E$16&gt;0,K20,L9)</f>
        <v>#DIV/0!</v>
      </c>
      <c r="Q20" s="206" t="e">
        <f>IF($E$16&gt;0,G20,O9)</f>
        <v>#DIV/0!</v>
      </c>
      <c r="R20" s="207" t="e">
        <f>1000/Q20</f>
        <v>#DIV/0!</v>
      </c>
      <c r="S20" s="208" t="e">
        <f>2000/(1+P20)</f>
        <v>#DIV/0!</v>
      </c>
    </row>
    <row r="21" spans="1:19" x14ac:dyDescent="0.2">
      <c r="A21" s="203"/>
      <c r="I21" s="186"/>
      <c r="K21" s="204"/>
      <c r="L21" s="204"/>
      <c r="O21" s="185"/>
      <c r="P21" s="206"/>
      <c r="Q21" s="206"/>
      <c r="R21" s="207"/>
      <c r="S21" s="208"/>
    </row>
    <row r="22" spans="1:19" x14ac:dyDescent="0.2">
      <c r="A22" s="203"/>
      <c r="E22" s="184" t="s">
        <v>214</v>
      </c>
      <c r="F22" s="186" t="e">
        <f>F2</f>
        <v>#DIV/0!</v>
      </c>
      <c r="G22" s="49">
        <f>C2</f>
        <v>0</v>
      </c>
      <c r="H22" s="49" t="e">
        <f>1000/G22</f>
        <v>#DIV/0!</v>
      </c>
      <c r="I22" s="186" t="e">
        <f>F22/H22</f>
        <v>#DIV/0!</v>
      </c>
      <c r="J22" s="186" t="e">
        <f>ROUNDUP(I22,-0.1)</f>
        <v>#DIV/0!</v>
      </c>
      <c r="K22" s="204" t="e">
        <f>J22-1</f>
        <v>#DIV/0!</v>
      </c>
      <c r="L22" s="204" t="e">
        <f>1000/J22</f>
        <v>#DIV/0!</v>
      </c>
      <c r="O22" s="185" t="s">
        <v>199</v>
      </c>
      <c r="P22" s="206" t="e">
        <f>IF($E$16&gt;0,K22,L11)</f>
        <v>#DIV/0!</v>
      </c>
      <c r="Q22" s="206" t="e">
        <f>IF($E$16&gt;0,G22,O11)</f>
        <v>#DIV/0!</v>
      </c>
      <c r="R22" s="207" t="e">
        <f>1000/Q22</f>
        <v>#DIV/0!</v>
      </c>
      <c r="S22" s="208" t="e">
        <f>1000/(1+P22)</f>
        <v>#DIV/0!</v>
      </c>
    </row>
    <row r="23" spans="1:19" x14ac:dyDescent="0.2">
      <c r="A23" s="203"/>
      <c r="E23" s="184" t="s">
        <v>215</v>
      </c>
      <c r="F23" s="186" t="e">
        <f>F3</f>
        <v>#DIV/0!</v>
      </c>
      <c r="G23" s="49">
        <f>C2</f>
        <v>0</v>
      </c>
      <c r="H23" s="49" t="e">
        <f>1000/G23</f>
        <v>#DIV/0!</v>
      </c>
      <c r="I23" s="186" t="e">
        <f>F23/H23</f>
        <v>#DIV/0!</v>
      </c>
      <c r="J23" s="186" t="e">
        <f>ROUNDUP(I23,-0.1)</f>
        <v>#DIV/0!</v>
      </c>
      <c r="K23" s="204" t="e">
        <f>J23-1</f>
        <v>#DIV/0!</v>
      </c>
      <c r="L23" s="204" t="e">
        <f>1000/J23</f>
        <v>#DIV/0!</v>
      </c>
      <c r="O23" s="185" t="s">
        <v>200</v>
      </c>
      <c r="P23" s="206" t="e">
        <f>IF($E$16&gt;0,K23,L12)</f>
        <v>#DIV/0!</v>
      </c>
      <c r="Q23" s="206" t="e">
        <f>IF($E$16&gt;0,G23,O12)</f>
        <v>#DIV/0!</v>
      </c>
      <c r="R23" s="207" t="e">
        <f>1000/Q23</f>
        <v>#DIV/0!</v>
      </c>
      <c r="S23" s="208" t="e">
        <f>1000/(1+P23)</f>
        <v>#DIV/0!</v>
      </c>
    </row>
    <row r="24" spans="1:19" x14ac:dyDescent="0.2">
      <c r="A24" s="203"/>
      <c r="E24" s="184" t="s">
        <v>216</v>
      </c>
      <c r="F24" s="186" t="e">
        <f>F4</f>
        <v>#DIV/0!</v>
      </c>
      <c r="G24" s="49">
        <f>C2</f>
        <v>0</v>
      </c>
      <c r="H24" s="49" t="e">
        <f>1000/G24</f>
        <v>#DIV/0!</v>
      </c>
      <c r="I24" s="186" t="e">
        <f>F24/H24</f>
        <v>#DIV/0!</v>
      </c>
      <c r="J24" s="186" t="e">
        <f>ROUNDUP(I24,-0.1)</f>
        <v>#DIV/0!</v>
      </c>
      <c r="K24" s="204" t="e">
        <f>J24-1</f>
        <v>#DIV/0!</v>
      </c>
      <c r="L24" s="204" t="e">
        <f>1000/J24</f>
        <v>#DIV/0!</v>
      </c>
      <c r="O24" s="185" t="s">
        <v>201</v>
      </c>
      <c r="P24" s="206" t="e">
        <f>IF($E$16&gt;0,K24,L13)</f>
        <v>#DIV/0!</v>
      </c>
      <c r="Q24" s="206" t="e">
        <f>IF($E$16&gt;0,G24,O13)</f>
        <v>#DIV/0!</v>
      </c>
      <c r="R24" s="207" t="e">
        <f>1000/Q24</f>
        <v>#DIV/0!</v>
      </c>
      <c r="S24" s="208" t="e">
        <f>1000/(1+P24)</f>
        <v>#DIV/0!</v>
      </c>
    </row>
    <row r="25" spans="1:19" x14ac:dyDescent="0.2">
      <c r="A25" s="203"/>
      <c r="S25" s="202"/>
    </row>
    <row r="26" spans="1:19" x14ac:dyDescent="0.2">
      <c r="A26" s="203"/>
      <c r="S26" s="202"/>
    </row>
    <row r="27" spans="1:19" x14ac:dyDescent="0.2">
      <c r="A27" s="203"/>
      <c r="E27" s="49">
        <f>IF($E$16+$D$16&gt;0,$C$5,3)</f>
        <v>3</v>
      </c>
      <c r="S27" s="202"/>
    </row>
    <row r="28" spans="1:19" x14ac:dyDescent="0.2">
      <c r="A28" s="203"/>
      <c r="S28" s="202"/>
    </row>
    <row r="29" spans="1:19" x14ac:dyDescent="0.2">
      <c r="A29" s="203"/>
      <c r="E29" s="184" t="s">
        <v>226</v>
      </c>
      <c r="F29" s="49">
        <f>IF($C$2+$C$5&gt;0,VLOOKUP($E$27,bond_val_kN[#All],2,FALSE)*-1,-3)</f>
        <v>-3</v>
      </c>
      <c r="S29" s="202"/>
    </row>
    <row r="30" spans="1:19" x14ac:dyDescent="0.2">
      <c r="A30" s="203"/>
      <c r="E30" s="184" t="s">
        <v>227</v>
      </c>
      <c r="F30" s="49">
        <f>IF($C$2+$C$5&gt;0,VLOOKUP($E$27,bond_val_kN[],2,FALSE)*-1,-3)</f>
        <v>-3</v>
      </c>
      <c r="S30" s="202"/>
    </row>
    <row r="31" spans="1:19" x14ac:dyDescent="0.2">
      <c r="A31" s="203"/>
      <c r="E31" s="184" t="s">
        <v>228</v>
      </c>
      <c r="F31" s="49">
        <f>IF($C$2+$C$5&gt;0,VLOOKUP($E$27,bond_val_kN[],2,FALSE)*-1,-3)</f>
        <v>-3</v>
      </c>
      <c r="S31" s="202"/>
    </row>
    <row r="32" spans="1:19" x14ac:dyDescent="0.2">
      <c r="A32" s="203"/>
      <c r="S32" s="202"/>
    </row>
    <row r="33" spans="1:19" x14ac:dyDescent="0.2">
      <c r="A33" s="203"/>
      <c r="S33" s="202"/>
    </row>
    <row r="34" spans="1:19" x14ac:dyDescent="0.2">
      <c r="A34" s="201" t="s">
        <v>235</v>
      </c>
      <c r="D34" s="184"/>
      <c r="E34" s="184"/>
      <c r="F34" s="184"/>
      <c r="S34" s="202"/>
    </row>
    <row r="35" spans="1:19" x14ac:dyDescent="0.2">
      <c r="A35" s="201" t="s">
        <v>236</v>
      </c>
      <c r="B35" s="209" t="e">
        <f>'New Input'!C22/Flat!C15</f>
        <v>#DIV/0!</v>
      </c>
      <c r="S35" s="202"/>
    </row>
    <row r="36" spans="1:19" x14ac:dyDescent="0.2">
      <c r="A36" s="203"/>
      <c r="B36" s="210" t="s">
        <v>237</v>
      </c>
      <c r="C36" s="49" t="e">
        <f>IF(B35&lt;0.05,1,0)</f>
        <v>#DIV/0!</v>
      </c>
      <c r="S36" s="202"/>
    </row>
    <row r="37" spans="1:19" x14ac:dyDescent="0.2">
      <c r="A37" s="203"/>
      <c r="B37" s="49">
        <v>1</v>
      </c>
      <c r="C37" s="49" t="e">
        <f>IF(AND(B35&gt;=0.05,B35&lt;0.1),2,0)</f>
        <v>#DIV/0!</v>
      </c>
      <c r="S37" s="202"/>
    </row>
    <row r="38" spans="1:19" x14ac:dyDescent="0.2">
      <c r="A38" s="203"/>
      <c r="B38" s="49">
        <v>2</v>
      </c>
      <c r="C38" s="49" t="e">
        <f>IF(AND(B35&gt;=0.1,B35&lt;0.2),3,0)</f>
        <v>#DIV/0!</v>
      </c>
      <c r="S38" s="202"/>
    </row>
    <row r="39" spans="1:19" x14ac:dyDescent="0.2">
      <c r="A39" s="203"/>
      <c r="B39" s="49">
        <v>3</v>
      </c>
      <c r="C39" s="49" t="e">
        <f>IF(B35&gt;=0.2,4,0)</f>
        <v>#DIV/0!</v>
      </c>
      <c r="S39" s="202"/>
    </row>
    <row r="40" spans="1:19" x14ac:dyDescent="0.2">
      <c r="A40" s="203"/>
      <c r="B40" s="184" t="s">
        <v>238</v>
      </c>
      <c r="C40" s="49" t="e">
        <f>SUM(C36:C39)</f>
        <v>#DIV/0!</v>
      </c>
      <c r="S40" s="202"/>
    </row>
    <row r="41" spans="1:19" x14ac:dyDescent="0.2">
      <c r="A41" s="203"/>
      <c r="S41" s="202"/>
    </row>
    <row r="42" spans="1:19" x14ac:dyDescent="0.2">
      <c r="A42" s="201" t="s">
        <v>239</v>
      </c>
      <c r="D42" s="184" t="s">
        <v>226</v>
      </c>
      <c r="E42" s="184" t="s">
        <v>234</v>
      </c>
      <c r="F42" s="184" t="s">
        <v>228</v>
      </c>
      <c r="S42" s="202"/>
    </row>
    <row r="43" spans="1:19" x14ac:dyDescent="0.2">
      <c r="A43" s="211"/>
      <c r="B43" s="212"/>
      <c r="C43" s="212"/>
      <c r="D43" s="212" t="e">
        <f>VLOOKUP($C$40,Parapet[#All],3,FALSE)</f>
        <v>#DIV/0!</v>
      </c>
      <c r="E43" s="212" t="e">
        <f>VLOOKUP($C$40,Parapet[#All],4,FALSE)</f>
        <v>#DIV/0!</v>
      </c>
      <c r="F43" s="212" t="e">
        <f>VLOOKUP($C$40,Parapet[#All],5,FALSE)</f>
        <v>#DIV/0!</v>
      </c>
      <c r="G43" s="212"/>
      <c r="H43" s="212"/>
      <c r="I43" s="212"/>
      <c r="J43" s="212"/>
      <c r="K43" s="212"/>
      <c r="L43" s="212"/>
      <c r="M43" s="212"/>
      <c r="N43" s="212"/>
      <c r="O43" s="212"/>
      <c r="P43" s="212"/>
      <c r="Q43" s="212"/>
      <c r="R43" s="212"/>
      <c r="S43" s="213"/>
    </row>
    <row r="44" spans="1:19" x14ac:dyDescent="0.2">
      <c r="A44" s="215" t="s">
        <v>269</v>
      </c>
    </row>
    <row r="45" spans="1:19" x14ac:dyDescent="0.2">
      <c r="E45" s="184" t="s">
        <v>264</v>
      </c>
      <c r="F45" s="186">
        <f>Mono!D44</f>
        <v>5.8115631691648808</v>
      </c>
    </row>
    <row r="46" spans="1:19" x14ac:dyDescent="0.2">
      <c r="E46" s="184" t="s">
        <v>265</v>
      </c>
      <c r="F46" s="186">
        <f>Mono!E44</f>
        <v>3.5374732334047105</v>
      </c>
    </row>
    <row r="47" spans="1:19" x14ac:dyDescent="0.2">
      <c r="E47" s="184" t="s">
        <v>266</v>
      </c>
      <c r="F47" s="186">
        <f>Mono!F44</f>
        <v>2.5267665952890788</v>
      </c>
    </row>
    <row r="48" spans="1:19" x14ac:dyDescent="0.2">
      <c r="E48" s="184" t="s">
        <v>268</v>
      </c>
      <c r="F48" s="186">
        <f>Mono!G44</f>
        <v>3.2847965738758029</v>
      </c>
    </row>
    <row r="49" spans="5:15" x14ac:dyDescent="0.2">
      <c r="E49" s="184" t="s">
        <v>267</v>
      </c>
      <c r="F49" s="186">
        <f>Mono!H44</f>
        <v>6.569593147751605</v>
      </c>
    </row>
    <row r="50" spans="5:15" x14ac:dyDescent="0.2">
      <c r="E50" s="184" t="s">
        <v>276</v>
      </c>
      <c r="F50" s="186">
        <f>Mono!I44</f>
        <v>3.2847965738758029</v>
      </c>
    </row>
    <row r="52" spans="5:15" x14ac:dyDescent="0.2">
      <c r="G52" s="184" t="s">
        <v>202</v>
      </c>
      <c r="H52" s="184" t="s">
        <v>204</v>
      </c>
      <c r="I52" s="184" t="s">
        <v>205</v>
      </c>
      <c r="J52" s="184" t="s">
        <v>206</v>
      </c>
      <c r="K52" s="184" t="s">
        <v>207</v>
      </c>
      <c r="L52" s="184" t="s">
        <v>208</v>
      </c>
      <c r="M52" s="184" t="s">
        <v>209</v>
      </c>
      <c r="N52" s="184" t="s">
        <v>224</v>
      </c>
      <c r="O52" s="184" t="s">
        <v>223</v>
      </c>
    </row>
    <row r="53" spans="5:15" x14ac:dyDescent="0.2">
      <c r="E53" s="184" t="s">
        <v>271</v>
      </c>
      <c r="F53" s="49">
        <f t="shared" ref="F53:F58" si="0">F45*2</f>
        <v>11.623126338329762</v>
      </c>
      <c r="G53" s="186">
        <f t="shared" ref="G53:G58" si="1">1000/F53</f>
        <v>86.03537214443628</v>
      </c>
      <c r="H53" s="49">
        <f t="shared" ref="H53:H58" si="2">IF(G53&lt;120,1,0)</f>
        <v>1</v>
      </c>
      <c r="I53" s="49">
        <f t="shared" ref="I53:I58" si="3">IF(G53&lt;60,1,0)</f>
        <v>0</v>
      </c>
      <c r="J53" s="49">
        <f t="shared" ref="J53:J58" si="4">IF(G53&lt;30,1,0)</f>
        <v>0</v>
      </c>
      <c r="K53" s="49">
        <f t="shared" ref="K53:K58" si="5">IF(G53&lt;15,1,0)</f>
        <v>0</v>
      </c>
      <c r="L53" s="49">
        <f t="shared" ref="L53:L58" si="6">SUM(H53:K53)</f>
        <v>1</v>
      </c>
      <c r="M53" s="204">
        <f t="shared" ref="M53:M58" si="7">2000/(1+L53)</f>
        <v>1000</v>
      </c>
      <c r="N53" s="49">
        <f t="shared" ref="N53:N58" si="8">F53/(1+L53)</f>
        <v>5.8115631691648808</v>
      </c>
      <c r="O53" s="186">
        <f t="shared" ref="O53:O58" si="9">1000/N53</f>
        <v>172.07074428887256</v>
      </c>
    </row>
    <row r="54" spans="5:15" x14ac:dyDescent="0.2">
      <c r="E54" s="184" t="s">
        <v>272</v>
      </c>
      <c r="F54" s="49">
        <f t="shared" si="0"/>
        <v>7.0749464668094211</v>
      </c>
      <c r="G54" s="186">
        <f t="shared" si="1"/>
        <v>141.34382566585958</v>
      </c>
      <c r="H54" s="49">
        <f t="shared" si="2"/>
        <v>0</v>
      </c>
      <c r="I54" s="49">
        <f t="shared" si="3"/>
        <v>0</v>
      </c>
      <c r="J54" s="49">
        <f t="shared" si="4"/>
        <v>0</v>
      </c>
      <c r="K54" s="49">
        <f t="shared" si="5"/>
        <v>0</v>
      </c>
      <c r="L54" s="49">
        <f t="shared" si="6"/>
        <v>0</v>
      </c>
      <c r="M54" s="204">
        <f t="shared" si="7"/>
        <v>2000</v>
      </c>
      <c r="N54" s="49">
        <f t="shared" si="8"/>
        <v>7.0749464668094211</v>
      </c>
      <c r="O54" s="186">
        <f t="shared" si="9"/>
        <v>141.34382566585958</v>
      </c>
    </row>
    <row r="55" spans="5:15" x14ac:dyDescent="0.2">
      <c r="E55" s="184" t="s">
        <v>273</v>
      </c>
      <c r="F55" s="49">
        <f t="shared" si="0"/>
        <v>5.0535331905781575</v>
      </c>
      <c r="G55" s="186">
        <f t="shared" si="1"/>
        <v>197.88135593220343</v>
      </c>
      <c r="H55" s="49">
        <f t="shared" si="2"/>
        <v>0</v>
      </c>
      <c r="I55" s="49">
        <f t="shared" si="3"/>
        <v>0</v>
      </c>
      <c r="J55" s="49">
        <f t="shared" si="4"/>
        <v>0</v>
      </c>
      <c r="K55" s="49">
        <f t="shared" si="5"/>
        <v>0</v>
      </c>
      <c r="L55" s="49">
        <f t="shared" si="6"/>
        <v>0</v>
      </c>
      <c r="M55" s="204">
        <f t="shared" si="7"/>
        <v>2000</v>
      </c>
      <c r="N55" s="49">
        <f t="shared" si="8"/>
        <v>5.0535331905781575</v>
      </c>
      <c r="O55" s="186">
        <f t="shared" si="9"/>
        <v>197.88135593220343</v>
      </c>
    </row>
    <row r="56" spans="5:15" x14ac:dyDescent="0.2">
      <c r="E56" s="184" t="s">
        <v>274</v>
      </c>
      <c r="F56" s="49">
        <f t="shared" si="0"/>
        <v>6.5695931477516059</v>
      </c>
      <c r="G56" s="186">
        <f t="shared" si="1"/>
        <v>152.21642764015647</v>
      </c>
      <c r="H56" s="49">
        <f t="shared" si="2"/>
        <v>0</v>
      </c>
      <c r="I56" s="49">
        <f t="shared" si="3"/>
        <v>0</v>
      </c>
      <c r="J56" s="49">
        <f t="shared" si="4"/>
        <v>0</v>
      </c>
      <c r="K56" s="49">
        <f t="shared" si="5"/>
        <v>0</v>
      </c>
      <c r="L56" s="49">
        <f t="shared" si="6"/>
        <v>0</v>
      </c>
      <c r="M56" s="204">
        <f t="shared" si="7"/>
        <v>2000</v>
      </c>
      <c r="N56" s="49">
        <f t="shared" si="8"/>
        <v>6.5695931477516059</v>
      </c>
      <c r="O56" s="186">
        <f t="shared" si="9"/>
        <v>152.21642764015647</v>
      </c>
    </row>
    <row r="57" spans="5:15" x14ac:dyDescent="0.2">
      <c r="E57" s="184" t="s">
        <v>275</v>
      </c>
      <c r="F57" s="49">
        <f t="shared" si="0"/>
        <v>13.13918629550321</v>
      </c>
      <c r="G57" s="186">
        <f t="shared" si="1"/>
        <v>76.108213820078234</v>
      </c>
      <c r="H57" s="49">
        <f t="shared" si="2"/>
        <v>1</v>
      </c>
      <c r="I57" s="49">
        <f t="shared" si="3"/>
        <v>0</v>
      </c>
      <c r="J57" s="49">
        <f t="shared" si="4"/>
        <v>0</v>
      </c>
      <c r="K57" s="49">
        <f t="shared" si="5"/>
        <v>0</v>
      </c>
      <c r="L57" s="49">
        <f t="shared" si="6"/>
        <v>1</v>
      </c>
      <c r="M57" s="204">
        <f t="shared" si="7"/>
        <v>1000</v>
      </c>
      <c r="N57" s="49">
        <f t="shared" si="8"/>
        <v>6.569593147751605</v>
      </c>
      <c r="O57" s="186">
        <f t="shared" si="9"/>
        <v>152.21642764015647</v>
      </c>
    </row>
    <row r="58" spans="5:15" x14ac:dyDescent="0.2">
      <c r="E58" s="184" t="s">
        <v>277</v>
      </c>
      <c r="F58" s="49">
        <f t="shared" si="0"/>
        <v>6.5695931477516059</v>
      </c>
      <c r="G58" s="186">
        <f t="shared" si="1"/>
        <v>152.21642764015647</v>
      </c>
      <c r="H58" s="49">
        <f t="shared" si="2"/>
        <v>0</v>
      </c>
      <c r="I58" s="49">
        <f t="shared" si="3"/>
        <v>0</v>
      </c>
      <c r="J58" s="49">
        <f t="shared" si="4"/>
        <v>0</v>
      </c>
      <c r="K58" s="49">
        <f t="shared" si="5"/>
        <v>0</v>
      </c>
      <c r="L58" s="49">
        <f t="shared" si="6"/>
        <v>0</v>
      </c>
      <c r="M58" s="204">
        <f t="shared" si="7"/>
        <v>2000</v>
      </c>
      <c r="N58" s="49">
        <f t="shared" si="8"/>
        <v>6.5695931477516059</v>
      </c>
      <c r="O58" s="186">
        <f t="shared" si="9"/>
        <v>152.21642764015647</v>
      </c>
    </row>
    <row r="60" spans="5:15" x14ac:dyDescent="0.2">
      <c r="E60" s="184" t="s">
        <v>278</v>
      </c>
      <c r="F60" s="186">
        <f t="shared" ref="F60:F65" si="10">F45</f>
        <v>5.8115631691648808</v>
      </c>
      <c r="G60" s="186">
        <f t="shared" ref="G60:G65" si="11">1000/F60</f>
        <v>172.07074428887256</v>
      </c>
      <c r="H60" s="49">
        <f t="shared" ref="H60:H65" si="12">IF(G60&lt;120,1,0)</f>
        <v>0</v>
      </c>
      <c r="I60" s="49">
        <f t="shared" ref="I60:I65" si="13">IF(G60&lt;60,1,0)</f>
        <v>0</v>
      </c>
      <c r="J60" s="49">
        <f t="shared" ref="J60:J65" si="14">IF(G60&lt;30,1,0)</f>
        <v>0</v>
      </c>
      <c r="K60" s="49">
        <f t="shared" ref="K60:K65" si="15">IF(G60&lt;15,1,0)</f>
        <v>0</v>
      </c>
      <c r="L60" s="49">
        <f t="shared" ref="L60:L65" si="16">SUM(H60:K60)</f>
        <v>0</v>
      </c>
      <c r="M60" s="204">
        <f t="shared" ref="M60:M65" si="17">1000/(1+L60)</f>
        <v>1000</v>
      </c>
      <c r="N60" s="49">
        <f t="shared" ref="N60:N65" si="18">F60/(1+L60)</f>
        <v>5.8115631691648808</v>
      </c>
      <c r="O60" s="186">
        <f t="shared" ref="O60:O65" si="19">1000/N60</f>
        <v>172.07074428887256</v>
      </c>
    </row>
    <row r="61" spans="5:15" x14ac:dyDescent="0.2">
      <c r="E61" s="184" t="s">
        <v>279</v>
      </c>
      <c r="F61" s="186">
        <f t="shared" si="10"/>
        <v>3.5374732334047105</v>
      </c>
      <c r="G61" s="186">
        <f t="shared" si="11"/>
        <v>282.68765133171917</v>
      </c>
      <c r="H61" s="49">
        <f t="shared" si="12"/>
        <v>0</v>
      </c>
      <c r="I61" s="49">
        <f t="shared" si="13"/>
        <v>0</v>
      </c>
      <c r="J61" s="49">
        <f t="shared" si="14"/>
        <v>0</v>
      </c>
      <c r="K61" s="49">
        <f t="shared" si="15"/>
        <v>0</v>
      </c>
      <c r="L61" s="49">
        <f t="shared" si="16"/>
        <v>0</v>
      </c>
      <c r="M61" s="204">
        <f t="shared" si="17"/>
        <v>1000</v>
      </c>
      <c r="N61" s="49">
        <f t="shared" si="18"/>
        <v>3.5374732334047105</v>
      </c>
      <c r="O61" s="186">
        <f t="shared" si="19"/>
        <v>282.68765133171917</v>
      </c>
    </row>
    <row r="62" spans="5:15" x14ac:dyDescent="0.2">
      <c r="E62" s="184" t="s">
        <v>280</v>
      </c>
      <c r="F62" s="186">
        <f t="shared" si="10"/>
        <v>2.5267665952890788</v>
      </c>
      <c r="G62" s="186">
        <f t="shared" si="11"/>
        <v>395.76271186440687</v>
      </c>
      <c r="H62" s="49">
        <f t="shared" si="12"/>
        <v>0</v>
      </c>
      <c r="I62" s="49">
        <f t="shared" si="13"/>
        <v>0</v>
      </c>
      <c r="J62" s="49">
        <f t="shared" si="14"/>
        <v>0</v>
      </c>
      <c r="K62" s="49">
        <f t="shared" si="15"/>
        <v>0</v>
      </c>
      <c r="L62" s="49">
        <f t="shared" si="16"/>
        <v>0</v>
      </c>
      <c r="M62" s="204">
        <f t="shared" si="17"/>
        <v>1000</v>
      </c>
      <c r="N62" s="49">
        <f t="shared" si="18"/>
        <v>2.5267665952890788</v>
      </c>
      <c r="O62" s="186">
        <f t="shared" si="19"/>
        <v>395.76271186440687</v>
      </c>
    </row>
    <row r="63" spans="5:15" x14ac:dyDescent="0.2">
      <c r="E63" s="184" t="s">
        <v>281</v>
      </c>
      <c r="F63" s="186">
        <f t="shared" si="10"/>
        <v>3.2847965738758029</v>
      </c>
      <c r="G63" s="186">
        <f t="shared" si="11"/>
        <v>304.43285528031294</v>
      </c>
      <c r="H63" s="49">
        <f t="shared" si="12"/>
        <v>0</v>
      </c>
      <c r="I63" s="49">
        <f t="shared" si="13"/>
        <v>0</v>
      </c>
      <c r="J63" s="49">
        <f t="shared" si="14"/>
        <v>0</v>
      </c>
      <c r="K63" s="49">
        <f t="shared" si="15"/>
        <v>0</v>
      </c>
      <c r="L63" s="49">
        <f t="shared" si="16"/>
        <v>0</v>
      </c>
      <c r="M63" s="204">
        <f t="shared" si="17"/>
        <v>1000</v>
      </c>
      <c r="N63" s="49">
        <f t="shared" si="18"/>
        <v>3.2847965738758029</v>
      </c>
      <c r="O63" s="186">
        <f t="shared" si="19"/>
        <v>304.43285528031294</v>
      </c>
    </row>
    <row r="64" spans="5:15" x14ac:dyDescent="0.2">
      <c r="E64" s="184" t="s">
        <v>282</v>
      </c>
      <c r="F64" s="186">
        <f t="shared" si="10"/>
        <v>6.569593147751605</v>
      </c>
      <c r="G64" s="186">
        <f t="shared" si="11"/>
        <v>152.21642764015647</v>
      </c>
      <c r="H64" s="49">
        <f t="shared" si="12"/>
        <v>0</v>
      </c>
      <c r="I64" s="49">
        <f t="shared" si="13"/>
        <v>0</v>
      </c>
      <c r="J64" s="49">
        <f t="shared" si="14"/>
        <v>0</v>
      </c>
      <c r="K64" s="49">
        <f t="shared" si="15"/>
        <v>0</v>
      </c>
      <c r="L64" s="49">
        <f t="shared" si="16"/>
        <v>0</v>
      </c>
      <c r="M64" s="204">
        <f t="shared" si="17"/>
        <v>1000</v>
      </c>
      <c r="N64" s="49">
        <f t="shared" si="18"/>
        <v>6.569593147751605</v>
      </c>
      <c r="O64" s="186">
        <f t="shared" si="19"/>
        <v>152.21642764015647</v>
      </c>
    </row>
    <row r="65" spans="4:19" x14ac:dyDescent="0.2">
      <c r="E65" s="184" t="s">
        <v>283</v>
      </c>
      <c r="F65" s="186">
        <f t="shared" si="10"/>
        <v>3.2847965738758029</v>
      </c>
      <c r="G65" s="186">
        <f t="shared" si="11"/>
        <v>304.43285528031294</v>
      </c>
      <c r="H65" s="49">
        <f t="shared" si="12"/>
        <v>0</v>
      </c>
      <c r="I65" s="49">
        <f t="shared" si="13"/>
        <v>0</v>
      </c>
      <c r="J65" s="49">
        <f t="shared" si="14"/>
        <v>0</v>
      </c>
      <c r="K65" s="49">
        <f t="shared" si="15"/>
        <v>0</v>
      </c>
      <c r="L65" s="49">
        <f t="shared" si="16"/>
        <v>0</v>
      </c>
      <c r="M65" s="204">
        <f t="shared" si="17"/>
        <v>1000</v>
      </c>
      <c r="N65" s="49">
        <f t="shared" si="18"/>
        <v>3.2847965738758029</v>
      </c>
      <c r="O65" s="186">
        <f t="shared" si="19"/>
        <v>304.43285528031294</v>
      </c>
    </row>
    <row r="67" spans="4:19" x14ac:dyDescent="0.2">
      <c r="D67" s="184" t="s">
        <v>241</v>
      </c>
      <c r="E67" s="184" t="s">
        <v>210</v>
      </c>
    </row>
    <row r="68" spans="4:19" x14ac:dyDescent="0.2">
      <c r="D68" s="49">
        <f>IF($B$5&gt;0,1,0)</f>
        <v>0</v>
      </c>
      <c r="E68" s="184">
        <f>IF($B$2+$B$3&gt;0,1,0)</f>
        <v>0</v>
      </c>
      <c r="O68" s="185"/>
      <c r="P68" s="185" t="s">
        <v>229</v>
      </c>
      <c r="Q68" s="185"/>
      <c r="S68" s="202"/>
    </row>
    <row r="69" spans="4:19" x14ac:dyDescent="0.2">
      <c r="E69" s="184"/>
      <c r="G69" s="184" t="s">
        <v>218</v>
      </c>
      <c r="H69" s="184" t="s">
        <v>217</v>
      </c>
      <c r="I69" s="184" t="s">
        <v>219</v>
      </c>
      <c r="J69" s="184" t="s">
        <v>220</v>
      </c>
      <c r="K69" s="184" t="s">
        <v>221</v>
      </c>
      <c r="L69" s="184" t="s">
        <v>222</v>
      </c>
      <c r="O69" s="185"/>
      <c r="P69" s="185" t="s">
        <v>221</v>
      </c>
      <c r="Q69" s="185" t="s">
        <v>230</v>
      </c>
      <c r="R69" s="185" t="s">
        <v>231</v>
      </c>
      <c r="S69" s="205" t="s">
        <v>232</v>
      </c>
    </row>
    <row r="70" spans="4:19" x14ac:dyDescent="0.2">
      <c r="E70" s="184" t="s">
        <v>284</v>
      </c>
      <c r="F70" s="49">
        <f t="shared" ref="F70:F75" si="20">F45*2</f>
        <v>11.623126338329762</v>
      </c>
      <c r="G70" s="49">
        <f t="shared" ref="G70:G75" si="21">$C$2</f>
        <v>0</v>
      </c>
      <c r="H70" s="49" t="e">
        <f t="shared" ref="H70:H75" si="22">1000/G70</f>
        <v>#DIV/0!</v>
      </c>
      <c r="I70" s="186" t="e">
        <f t="shared" ref="I70:I75" si="23">F70/H70</f>
        <v>#DIV/0!</v>
      </c>
      <c r="J70" s="186" t="e">
        <f t="shared" ref="J70:J75" si="24">ROUNDUP(I70,-0.1)</f>
        <v>#DIV/0!</v>
      </c>
      <c r="K70" s="204" t="e">
        <f t="shared" ref="K70:K75" si="25">J70-1</f>
        <v>#DIV/0!</v>
      </c>
      <c r="L70" s="204" t="e">
        <f t="shared" ref="L70:L75" si="26">2000/J70</f>
        <v>#DIV/0!</v>
      </c>
      <c r="O70" s="185" t="s">
        <v>271</v>
      </c>
      <c r="P70" s="206">
        <f t="shared" ref="P70:P75" si="27">IF($E$68&gt;0,K70,L53)</f>
        <v>1</v>
      </c>
      <c r="Q70" s="207">
        <f t="shared" ref="Q70:Q75" si="28">IF($E$68&gt;0,G70,O53)</f>
        <v>172.07074428887256</v>
      </c>
      <c r="R70" s="207">
        <f t="shared" ref="R70:R75" si="29">1000/Q70</f>
        <v>5.8115631691648808</v>
      </c>
      <c r="S70" s="208">
        <f t="shared" ref="S70:S75" si="30">2000/(1+P70)</f>
        <v>1000</v>
      </c>
    </row>
    <row r="71" spans="4:19" x14ac:dyDescent="0.2">
      <c r="E71" s="184" t="s">
        <v>285</v>
      </c>
      <c r="F71" s="49">
        <f t="shared" si="20"/>
        <v>7.0749464668094211</v>
      </c>
      <c r="G71" s="49">
        <f t="shared" si="21"/>
        <v>0</v>
      </c>
      <c r="H71" s="49" t="e">
        <f t="shared" si="22"/>
        <v>#DIV/0!</v>
      </c>
      <c r="I71" s="186" t="e">
        <f t="shared" si="23"/>
        <v>#DIV/0!</v>
      </c>
      <c r="J71" s="186" t="e">
        <f t="shared" si="24"/>
        <v>#DIV/0!</v>
      </c>
      <c r="K71" s="204" t="e">
        <f t="shared" si="25"/>
        <v>#DIV/0!</v>
      </c>
      <c r="L71" s="204" t="e">
        <f t="shared" si="26"/>
        <v>#DIV/0!</v>
      </c>
      <c r="O71" s="185" t="s">
        <v>290</v>
      </c>
      <c r="P71" s="206">
        <f t="shared" si="27"/>
        <v>0</v>
      </c>
      <c r="Q71" s="207">
        <f t="shared" si="28"/>
        <v>141.34382566585958</v>
      </c>
      <c r="R71" s="207">
        <f t="shared" si="29"/>
        <v>7.0749464668094211</v>
      </c>
      <c r="S71" s="208">
        <f t="shared" si="30"/>
        <v>2000</v>
      </c>
    </row>
    <row r="72" spans="4:19" x14ac:dyDescent="0.2">
      <c r="E72" s="184" t="s">
        <v>286</v>
      </c>
      <c r="F72" s="49">
        <f t="shared" si="20"/>
        <v>5.0535331905781575</v>
      </c>
      <c r="G72" s="49">
        <f t="shared" si="21"/>
        <v>0</v>
      </c>
      <c r="H72" s="49" t="e">
        <f t="shared" si="22"/>
        <v>#DIV/0!</v>
      </c>
      <c r="I72" s="186" t="e">
        <f t="shared" si="23"/>
        <v>#DIV/0!</v>
      </c>
      <c r="J72" s="186" t="e">
        <f t="shared" si="24"/>
        <v>#DIV/0!</v>
      </c>
      <c r="K72" s="204" t="e">
        <f t="shared" si="25"/>
        <v>#DIV/0!</v>
      </c>
      <c r="L72" s="204" t="e">
        <f t="shared" si="26"/>
        <v>#DIV/0!</v>
      </c>
      <c r="O72" s="185" t="s">
        <v>273</v>
      </c>
      <c r="P72" s="206">
        <f t="shared" si="27"/>
        <v>0</v>
      </c>
      <c r="Q72" s="207">
        <f t="shared" si="28"/>
        <v>197.88135593220343</v>
      </c>
      <c r="R72" s="207">
        <f t="shared" si="29"/>
        <v>5.0535331905781575</v>
      </c>
      <c r="S72" s="208">
        <f t="shared" si="30"/>
        <v>2000</v>
      </c>
    </row>
    <row r="73" spans="4:19" x14ac:dyDescent="0.2">
      <c r="E73" s="184" t="s">
        <v>287</v>
      </c>
      <c r="F73" s="49">
        <f t="shared" si="20"/>
        <v>6.5695931477516059</v>
      </c>
      <c r="G73" s="49">
        <f t="shared" si="21"/>
        <v>0</v>
      </c>
      <c r="H73" s="49" t="e">
        <f t="shared" si="22"/>
        <v>#DIV/0!</v>
      </c>
      <c r="I73" s="186" t="e">
        <f t="shared" si="23"/>
        <v>#DIV/0!</v>
      </c>
      <c r="J73" s="186" t="e">
        <f t="shared" si="24"/>
        <v>#DIV/0!</v>
      </c>
      <c r="K73" s="204" t="e">
        <f t="shared" si="25"/>
        <v>#DIV/0!</v>
      </c>
      <c r="L73" s="204" t="e">
        <f t="shared" si="26"/>
        <v>#DIV/0!</v>
      </c>
      <c r="O73" s="185" t="s">
        <v>287</v>
      </c>
      <c r="P73" s="206">
        <f t="shared" si="27"/>
        <v>0</v>
      </c>
      <c r="Q73" s="207">
        <f t="shared" si="28"/>
        <v>152.21642764015647</v>
      </c>
      <c r="R73" s="207">
        <f t="shared" si="29"/>
        <v>6.569593147751605</v>
      </c>
      <c r="S73" s="208">
        <f t="shared" si="30"/>
        <v>2000</v>
      </c>
    </row>
    <row r="74" spans="4:19" x14ac:dyDescent="0.2">
      <c r="E74" s="184" t="s">
        <v>288</v>
      </c>
      <c r="F74" s="49">
        <f t="shared" si="20"/>
        <v>13.13918629550321</v>
      </c>
      <c r="G74" s="49">
        <f t="shared" si="21"/>
        <v>0</v>
      </c>
      <c r="H74" s="49" t="e">
        <f t="shared" si="22"/>
        <v>#DIV/0!</v>
      </c>
      <c r="I74" s="186" t="e">
        <f t="shared" si="23"/>
        <v>#DIV/0!</v>
      </c>
      <c r="J74" s="186" t="e">
        <f t="shared" si="24"/>
        <v>#DIV/0!</v>
      </c>
      <c r="K74" s="204" t="e">
        <f t="shared" si="25"/>
        <v>#DIV/0!</v>
      </c>
      <c r="L74" s="204" t="e">
        <f t="shared" si="26"/>
        <v>#DIV/0!</v>
      </c>
      <c r="O74" s="185" t="s">
        <v>288</v>
      </c>
      <c r="P74" s="206">
        <f t="shared" si="27"/>
        <v>1</v>
      </c>
      <c r="Q74" s="207">
        <f t="shared" si="28"/>
        <v>152.21642764015647</v>
      </c>
      <c r="R74" s="207">
        <f t="shared" si="29"/>
        <v>6.569593147751605</v>
      </c>
      <c r="S74" s="208">
        <f t="shared" si="30"/>
        <v>1000</v>
      </c>
    </row>
    <row r="75" spans="4:19" x14ac:dyDescent="0.2">
      <c r="E75" s="184" t="s">
        <v>289</v>
      </c>
      <c r="F75" s="49">
        <f t="shared" si="20"/>
        <v>6.5695931477516059</v>
      </c>
      <c r="G75" s="49">
        <f t="shared" si="21"/>
        <v>0</v>
      </c>
      <c r="H75" s="49" t="e">
        <f t="shared" si="22"/>
        <v>#DIV/0!</v>
      </c>
      <c r="I75" s="186" t="e">
        <f t="shared" si="23"/>
        <v>#DIV/0!</v>
      </c>
      <c r="J75" s="186" t="e">
        <f t="shared" si="24"/>
        <v>#DIV/0!</v>
      </c>
      <c r="K75" s="204" t="e">
        <f t="shared" si="25"/>
        <v>#DIV/0!</v>
      </c>
      <c r="L75" s="204" t="e">
        <f t="shared" si="26"/>
        <v>#DIV/0!</v>
      </c>
      <c r="O75" s="185" t="s">
        <v>289</v>
      </c>
      <c r="P75" s="206">
        <f t="shared" si="27"/>
        <v>0</v>
      </c>
      <c r="Q75" s="207">
        <f t="shared" si="28"/>
        <v>152.21642764015647</v>
      </c>
      <c r="R75" s="207">
        <f t="shared" si="29"/>
        <v>6.569593147751605</v>
      </c>
      <c r="S75" s="208">
        <f t="shared" si="30"/>
        <v>2000</v>
      </c>
    </row>
    <row r="76" spans="4:19" x14ac:dyDescent="0.2">
      <c r="Q76" s="186"/>
    </row>
    <row r="77" spans="4:19" x14ac:dyDescent="0.2">
      <c r="E77" s="184" t="s">
        <v>278</v>
      </c>
      <c r="F77" s="186">
        <f t="shared" ref="F77:F82" si="31">F45</f>
        <v>5.8115631691648808</v>
      </c>
      <c r="G77" s="49">
        <f t="shared" ref="G77:G82" si="32">$C$2</f>
        <v>0</v>
      </c>
      <c r="H77" s="49" t="e">
        <f t="shared" ref="H77:H82" si="33">1000/G77</f>
        <v>#DIV/0!</v>
      </c>
      <c r="I77" s="186" t="e">
        <f t="shared" ref="I77:I82" si="34">F77/H77</f>
        <v>#DIV/0!</v>
      </c>
      <c r="J77" s="186" t="e">
        <f t="shared" ref="J77:J82" si="35">ROUNDUP(I77,-0.1)</f>
        <v>#DIV/0!</v>
      </c>
      <c r="K77" s="204" t="e">
        <f t="shared" ref="K77:K82" si="36">J77-1</f>
        <v>#DIV/0!</v>
      </c>
      <c r="L77" s="204" t="e">
        <f t="shared" ref="L77:L82" si="37">1000/J77</f>
        <v>#DIV/0!</v>
      </c>
      <c r="O77" s="185" t="s">
        <v>278</v>
      </c>
      <c r="P77" s="206">
        <f t="shared" ref="P77:P82" si="38">IF($E$68&gt;0,K77,L60)</f>
        <v>0</v>
      </c>
      <c r="Q77" s="207">
        <f t="shared" ref="Q77:Q82" si="39">IF($E$68&gt;0,G77,O60)</f>
        <v>172.07074428887256</v>
      </c>
      <c r="R77" s="207">
        <f t="shared" ref="R77:R82" si="40">1000/Q77</f>
        <v>5.8115631691648808</v>
      </c>
      <c r="S77" s="208">
        <f t="shared" ref="S77:S82" si="41">1000/(1+P77)</f>
        <v>1000</v>
      </c>
    </row>
    <row r="78" spans="4:19" x14ac:dyDescent="0.2">
      <c r="E78" s="184" t="s">
        <v>279</v>
      </c>
      <c r="F78" s="186">
        <f t="shared" si="31"/>
        <v>3.5374732334047105</v>
      </c>
      <c r="G78" s="49">
        <f t="shared" si="32"/>
        <v>0</v>
      </c>
      <c r="H78" s="49" t="e">
        <f t="shared" si="33"/>
        <v>#DIV/0!</v>
      </c>
      <c r="I78" s="186" t="e">
        <f t="shared" si="34"/>
        <v>#DIV/0!</v>
      </c>
      <c r="J78" s="186" t="e">
        <f t="shared" si="35"/>
        <v>#DIV/0!</v>
      </c>
      <c r="K78" s="204" t="e">
        <f t="shared" si="36"/>
        <v>#DIV/0!</v>
      </c>
      <c r="L78" s="204" t="e">
        <f t="shared" si="37"/>
        <v>#DIV/0!</v>
      </c>
      <c r="O78" s="185" t="s">
        <v>291</v>
      </c>
      <c r="P78" s="206">
        <f t="shared" si="38"/>
        <v>0</v>
      </c>
      <c r="Q78" s="207">
        <f t="shared" si="39"/>
        <v>282.68765133171917</v>
      </c>
      <c r="R78" s="207">
        <f t="shared" si="40"/>
        <v>3.5374732334047105</v>
      </c>
      <c r="S78" s="208">
        <f t="shared" si="41"/>
        <v>1000</v>
      </c>
    </row>
    <row r="79" spans="4:19" x14ac:dyDescent="0.2">
      <c r="E79" s="184" t="s">
        <v>280</v>
      </c>
      <c r="F79" s="186">
        <f t="shared" si="31"/>
        <v>2.5267665952890788</v>
      </c>
      <c r="G79" s="49">
        <f t="shared" si="32"/>
        <v>0</v>
      </c>
      <c r="H79" s="49" t="e">
        <f t="shared" si="33"/>
        <v>#DIV/0!</v>
      </c>
      <c r="I79" s="186" t="e">
        <f t="shared" si="34"/>
        <v>#DIV/0!</v>
      </c>
      <c r="J79" s="186" t="e">
        <f t="shared" si="35"/>
        <v>#DIV/0!</v>
      </c>
      <c r="K79" s="204" t="e">
        <f t="shared" si="36"/>
        <v>#DIV/0!</v>
      </c>
      <c r="L79" s="204" t="e">
        <f t="shared" si="37"/>
        <v>#DIV/0!</v>
      </c>
      <c r="O79" s="185" t="s">
        <v>280</v>
      </c>
      <c r="P79" s="206">
        <f t="shared" si="38"/>
        <v>0</v>
      </c>
      <c r="Q79" s="207">
        <f t="shared" si="39"/>
        <v>395.76271186440687</v>
      </c>
      <c r="R79" s="207">
        <f t="shared" si="40"/>
        <v>2.5267665952890788</v>
      </c>
      <c r="S79" s="208">
        <f t="shared" si="41"/>
        <v>1000</v>
      </c>
    </row>
    <row r="80" spans="4:19" x14ac:dyDescent="0.2">
      <c r="E80" s="184" t="s">
        <v>281</v>
      </c>
      <c r="F80" s="186">
        <f t="shared" si="31"/>
        <v>3.2847965738758029</v>
      </c>
      <c r="G80" s="49">
        <f t="shared" si="32"/>
        <v>0</v>
      </c>
      <c r="H80" s="49" t="e">
        <f t="shared" si="33"/>
        <v>#DIV/0!</v>
      </c>
      <c r="I80" s="186" t="e">
        <f t="shared" si="34"/>
        <v>#DIV/0!</v>
      </c>
      <c r="J80" s="186" t="e">
        <f t="shared" si="35"/>
        <v>#DIV/0!</v>
      </c>
      <c r="K80" s="204" t="e">
        <f t="shared" si="36"/>
        <v>#DIV/0!</v>
      </c>
      <c r="L80" s="204" t="e">
        <f t="shared" si="37"/>
        <v>#DIV/0!</v>
      </c>
      <c r="O80" s="185" t="s">
        <v>292</v>
      </c>
      <c r="P80" s="206">
        <f t="shared" si="38"/>
        <v>0</v>
      </c>
      <c r="Q80" s="207">
        <f t="shared" si="39"/>
        <v>304.43285528031294</v>
      </c>
      <c r="R80" s="207">
        <f t="shared" si="40"/>
        <v>3.2847965738758025</v>
      </c>
      <c r="S80" s="208">
        <f t="shared" si="41"/>
        <v>1000</v>
      </c>
    </row>
    <row r="81" spans="1:19" x14ac:dyDescent="0.2">
      <c r="E81" s="184" t="s">
        <v>282</v>
      </c>
      <c r="F81" s="186">
        <f t="shared" si="31"/>
        <v>6.569593147751605</v>
      </c>
      <c r="G81" s="49">
        <f t="shared" si="32"/>
        <v>0</v>
      </c>
      <c r="H81" s="49" t="e">
        <f t="shared" si="33"/>
        <v>#DIV/0!</v>
      </c>
      <c r="I81" s="186" t="e">
        <f t="shared" si="34"/>
        <v>#DIV/0!</v>
      </c>
      <c r="J81" s="186" t="e">
        <f t="shared" si="35"/>
        <v>#DIV/0!</v>
      </c>
      <c r="K81" s="204" t="e">
        <f t="shared" si="36"/>
        <v>#DIV/0!</v>
      </c>
      <c r="L81" s="204" t="e">
        <f t="shared" si="37"/>
        <v>#DIV/0!</v>
      </c>
      <c r="O81" s="185" t="s">
        <v>293</v>
      </c>
      <c r="P81" s="206">
        <f t="shared" si="38"/>
        <v>0</v>
      </c>
      <c r="Q81" s="207">
        <f t="shared" si="39"/>
        <v>152.21642764015647</v>
      </c>
      <c r="R81" s="207">
        <f t="shared" si="40"/>
        <v>6.569593147751605</v>
      </c>
      <c r="S81" s="208">
        <f t="shared" si="41"/>
        <v>1000</v>
      </c>
    </row>
    <row r="82" spans="1:19" x14ac:dyDescent="0.2">
      <c r="E82" s="184" t="s">
        <v>283</v>
      </c>
      <c r="F82" s="186">
        <f t="shared" si="31"/>
        <v>3.2847965738758029</v>
      </c>
      <c r="G82" s="49">
        <f t="shared" si="32"/>
        <v>0</v>
      </c>
      <c r="H82" s="49" t="e">
        <f t="shared" si="33"/>
        <v>#DIV/0!</v>
      </c>
      <c r="I82" s="186" t="e">
        <f t="shared" si="34"/>
        <v>#DIV/0!</v>
      </c>
      <c r="J82" s="186" t="e">
        <f t="shared" si="35"/>
        <v>#DIV/0!</v>
      </c>
      <c r="K82" s="204" t="e">
        <f t="shared" si="36"/>
        <v>#DIV/0!</v>
      </c>
      <c r="L82" s="204" t="e">
        <f t="shared" si="37"/>
        <v>#DIV/0!</v>
      </c>
      <c r="O82" s="185" t="s">
        <v>294</v>
      </c>
      <c r="P82" s="206">
        <f t="shared" si="38"/>
        <v>0</v>
      </c>
      <c r="Q82" s="207">
        <f t="shared" si="39"/>
        <v>304.43285528031294</v>
      </c>
      <c r="R82" s="207">
        <f t="shared" si="40"/>
        <v>3.2847965738758025</v>
      </c>
      <c r="S82" s="208">
        <f t="shared" si="41"/>
        <v>1000</v>
      </c>
    </row>
    <row r="85" spans="1:19" x14ac:dyDescent="0.2">
      <c r="A85" s="203"/>
      <c r="E85" s="49">
        <f>IF($E$16+$D$16&gt;0,$C$5,3)</f>
        <v>3</v>
      </c>
    </row>
    <row r="86" spans="1:19" x14ac:dyDescent="0.2">
      <c r="A86" s="203"/>
    </row>
    <row r="87" spans="1:19" x14ac:dyDescent="0.2">
      <c r="A87" s="203"/>
      <c r="E87" s="184" t="s">
        <v>264</v>
      </c>
      <c r="F87" s="49">
        <f>IF($C$2+$C$5&gt;0,VLOOKUP($E$27,bond_val_kN[#All],2,FALSE)*-1,-3)</f>
        <v>-3</v>
      </c>
    </row>
    <row r="88" spans="1:19" x14ac:dyDescent="0.2">
      <c r="A88" s="203"/>
      <c r="E88" s="184" t="s">
        <v>298</v>
      </c>
      <c r="F88" s="49">
        <f>IF($C$2+$C$5&gt;0,VLOOKUP($E$27,bond_val_kN[],2,FALSE)*-1,-3)</f>
        <v>-3</v>
      </c>
    </row>
    <row r="89" spans="1:19" x14ac:dyDescent="0.2">
      <c r="A89" s="203"/>
      <c r="E89" s="184" t="s">
        <v>266</v>
      </c>
      <c r="F89" s="49">
        <f>IF($C$2+$C$5&gt;0,VLOOKUP($E$27,bond_val_kN[],2,FALSE)*-1,-3)</f>
        <v>-3</v>
      </c>
    </row>
    <row r="90" spans="1:19" x14ac:dyDescent="0.2">
      <c r="A90" s="203"/>
      <c r="E90" s="184" t="s">
        <v>295</v>
      </c>
      <c r="F90" s="49">
        <f>IF($C$2+$C$5&gt;0,VLOOKUP($E$27,bond_val_kN[],2,FALSE)*-1,-3)</f>
        <v>-3</v>
      </c>
    </row>
    <row r="91" spans="1:19" x14ac:dyDescent="0.2">
      <c r="A91" s="203"/>
      <c r="E91" s="184" t="s">
        <v>296</v>
      </c>
      <c r="F91" s="49">
        <f>IF($C$2+$C$5&gt;0,VLOOKUP($E$27,bond_val_kN[],2,FALSE)*-1,-3)</f>
        <v>-3</v>
      </c>
    </row>
    <row r="92" spans="1:19" x14ac:dyDescent="0.2">
      <c r="A92" s="201"/>
      <c r="D92" s="184"/>
      <c r="E92" s="184" t="s">
        <v>297</v>
      </c>
      <c r="F92" s="49">
        <f>IF($C$2+$C$5&gt;0,VLOOKUP($E$27,bond_val_kN[],2,FALSE)*-1,-3)</f>
        <v>-3</v>
      </c>
    </row>
    <row r="93" spans="1:19" x14ac:dyDescent="0.2">
      <c r="A93" s="201"/>
      <c r="B93" s="209"/>
    </row>
    <row r="94" spans="1:19" x14ac:dyDescent="0.2">
      <c r="A94" s="215" t="s">
        <v>299</v>
      </c>
    </row>
    <row r="95" spans="1:19" x14ac:dyDescent="0.2">
      <c r="E95" s="184" t="s">
        <v>264</v>
      </c>
      <c r="F95" s="186">
        <f>Duo!D44</f>
        <v>7.5044967880085656</v>
      </c>
    </row>
    <row r="96" spans="1:19" x14ac:dyDescent="0.2">
      <c r="E96" s="184" t="s">
        <v>265</v>
      </c>
      <c r="F96" s="186">
        <f>Duo!E44</f>
        <v>4.7755888650963598</v>
      </c>
    </row>
    <row r="97" spans="5:15" x14ac:dyDescent="0.2">
      <c r="E97" s="184" t="s">
        <v>266</v>
      </c>
      <c r="F97" s="186">
        <f>Duo!F44</f>
        <v>2.7289079229122053</v>
      </c>
    </row>
    <row r="98" spans="5:15" x14ac:dyDescent="0.2">
      <c r="E98" s="184" t="s">
        <v>301</v>
      </c>
      <c r="F98" s="186">
        <f>Duo!G44</f>
        <v>4.434475374732334</v>
      </c>
    </row>
    <row r="99" spans="5:15" x14ac:dyDescent="0.2">
      <c r="E99" s="184" t="s">
        <v>300</v>
      </c>
      <c r="F99" s="186">
        <f>Duo!H44</f>
        <v>3.7522483940042828</v>
      </c>
    </row>
    <row r="100" spans="5:15" x14ac:dyDescent="0.2">
      <c r="E100" s="184"/>
      <c r="F100" s="186"/>
    </row>
    <row r="102" spans="5:15" x14ac:dyDescent="0.2">
      <c r="G102" s="184" t="s">
        <v>202</v>
      </c>
      <c r="H102" s="184" t="s">
        <v>204</v>
      </c>
      <c r="I102" s="184" t="s">
        <v>205</v>
      </c>
      <c r="J102" s="184" t="s">
        <v>206</v>
      </c>
      <c r="K102" s="184" t="s">
        <v>207</v>
      </c>
      <c r="L102" s="184" t="s">
        <v>208</v>
      </c>
      <c r="M102" s="184" t="s">
        <v>209</v>
      </c>
      <c r="N102" s="184" t="s">
        <v>224</v>
      </c>
      <c r="O102" s="184" t="s">
        <v>223</v>
      </c>
    </row>
    <row r="103" spans="5:15" x14ac:dyDescent="0.2">
      <c r="E103" s="184" t="s">
        <v>271</v>
      </c>
      <c r="F103" s="49">
        <f t="shared" ref="F103:F107" si="42">F95*2</f>
        <v>15.008993576017131</v>
      </c>
      <c r="G103" s="186">
        <f t="shared" ref="G103:G107" si="43">1000/F103</f>
        <v>66.626719169092041</v>
      </c>
      <c r="H103" s="49">
        <f>IF(G103&lt;120,1,0)</f>
        <v>1</v>
      </c>
      <c r="I103" s="49">
        <f>IF(G103&lt;60,1,0)</f>
        <v>0</v>
      </c>
      <c r="J103" s="49">
        <f>IF(G103&lt;30,1,0)</f>
        <v>0</v>
      </c>
      <c r="K103" s="49">
        <f>IF(G103&lt;15,1,0)</f>
        <v>0</v>
      </c>
      <c r="L103" s="49">
        <f t="shared" ref="L103:L107" si="44">SUM(H103:K103)</f>
        <v>1</v>
      </c>
      <c r="M103" s="204">
        <f t="shared" ref="M103:M107" si="45">2000/(1+L103)</f>
        <v>1000</v>
      </c>
      <c r="N103" s="49">
        <f t="shared" ref="N103:N107" si="46">F103/(1+L103)</f>
        <v>7.5044967880085656</v>
      </c>
      <c r="O103" s="186">
        <f t="shared" ref="O103:O107" si="47">1000/N103</f>
        <v>133.25343833818408</v>
      </c>
    </row>
    <row r="104" spans="5:15" x14ac:dyDescent="0.2">
      <c r="E104" s="184" t="s">
        <v>272</v>
      </c>
      <c r="F104" s="49">
        <f t="shared" si="42"/>
        <v>9.5511777301927197</v>
      </c>
      <c r="G104" s="186">
        <f t="shared" si="43"/>
        <v>104.69913012285893</v>
      </c>
      <c r="H104" s="49">
        <f>IF(G104&lt;120,1,0)</f>
        <v>1</v>
      </c>
      <c r="I104" s="49">
        <f>IF(G104&lt;60,1,0)</f>
        <v>0</v>
      </c>
      <c r="J104" s="49">
        <f>IF(G104&lt;30,1,0)</f>
        <v>0</v>
      </c>
      <c r="K104" s="49">
        <f>IF(G104&lt;15,1,0)</f>
        <v>0</v>
      </c>
      <c r="L104" s="49">
        <f t="shared" si="44"/>
        <v>1</v>
      </c>
      <c r="M104" s="204">
        <f t="shared" si="45"/>
        <v>1000</v>
      </c>
      <c r="N104" s="49">
        <f t="shared" si="46"/>
        <v>4.7755888650963598</v>
      </c>
      <c r="O104" s="186">
        <f t="shared" si="47"/>
        <v>209.39826024571786</v>
      </c>
    </row>
    <row r="105" spans="5:15" x14ac:dyDescent="0.2">
      <c r="E105" s="184" t="s">
        <v>273</v>
      </c>
      <c r="F105" s="49">
        <f t="shared" si="42"/>
        <v>5.4578158458244106</v>
      </c>
      <c r="G105" s="186">
        <f t="shared" si="43"/>
        <v>183.22347771500316</v>
      </c>
      <c r="H105" s="49">
        <f>IF(G105&lt;120,1,0)</f>
        <v>0</v>
      </c>
      <c r="I105" s="49">
        <f>IF(G105&lt;60,1,0)</f>
        <v>0</v>
      </c>
      <c r="J105" s="49">
        <f>IF(G105&lt;30,1,0)</f>
        <v>0</v>
      </c>
      <c r="K105" s="49">
        <f>IF(G105&lt;15,1,0)</f>
        <v>0</v>
      </c>
      <c r="L105" s="49">
        <f t="shared" si="44"/>
        <v>0</v>
      </c>
      <c r="M105" s="204">
        <f t="shared" si="45"/>
        <v>2000</v>
      </c>
      <c r="N105" s="49">
        <f t="shared" si="46"/>
        <v>5.4578158458244106</v>
      </c>
      <c r="O105" s="186">
        <f t="shared" si="47"/>
        <v>183.22347771500316</v>
      </c>
    </row>
    <row r="106" spans="5:15" x14ac:dyDescent="0.2">
      <c r="E106" s="184" t="s">
        <v>302</v>
      </c>
      <c r="F106" s="49">
        <f t="shared" si="42"/>
        <v>8.868950749464668</v>
      </c>
      <c r="G106" s="186">
        <f t="shared" si="43"/>
        <v>112.75290936307886</v>
      </c>
      <c r="H106" s="49">
        <f>IF(G106&lt;120,1,0)</f>
        <v>1</v>
      </c>
      <c r="I106" s="49">
        <f>IF(G106&lt;60,1,0)</f>
        <v>0</v>
      </c>
      <c r="J106" s="49">
        <f>IF(G106&lt;30,1,0)</f>
        <v>0</v>
      </c>
      <c r="K106" s="49">
        <f>IF(G106&lt;15,1,0)</f>
        <v>0</v>
      </c>
      <c r="L106" s="49">
        <f t="shared" si="44"/>
        <v>1</v>
      </c>
      <c r="M106" s="204">
        <f t="shared" si="45"/>
        <v>1000</v>
      </c>
      <c r="N106" s="49">
        <f t="shared" si="46"/>
        <v>4.434475374732334</v>
      </c>
      <c r="O106" s="186">
        <f t="shared" si="47"/>
        <v>225.50581872615771</v>
      </c>
    </row>
    <row r="107" spans="5:15" x14ac:dyDescent="0.2">
      <c r="E107" s="184" t="s">
        <v>304</v>
      </c>
      <c r="F107" s="49">
        <f t="shared" si="42"/>
        <v>7.5044967880085656</v>
      </c>
      <c r="G107" s="186">
        <f t="shared" si="43"/>
        <v>133.25343833818408</v>
      </c>
      <c r="H107" s="49">
        <f>IF(G107&lt;120,1,0)</f>
        <v>0</v>
      </c>
      <c r="I107" s="49">
        <f>IF(G107&lt;60,1,0)</f>
        <v>0</v>
      </c>
      <c r="J107" s="49">
        <f>IF(G107&lt;30,1,0)</f>
        <v>0</v>
      </c>
      <c r="K107" s="49">
        <f>IF(G107&lt;15,1,0)</f>
        <v>0</v>
      </c>
      <c r="L107" s="49">
        <f t="shared" si="44"/>
        <v>0</v>
      </c>
      <c r="M107" s="204">
        <f t="shared" si="45"/>
        <v>2000</v>
      </c>
      <c r="N107" s="49">
        <f t="shared" si="46"/>
        <v>7.5044967880085656</v>
      </c>
      <c r="O107" s="186">
        <f t="shared" si="47"/>
        <v>133.25343833818408</v>
      </c>
    </row>
    <row r="108" spans="5:15" x14ac:dyDescent="0.2">
      <c r="E108" s="184"/>
      <c r="G108" s="186"/>
      <c r="M108" s="204"/>
      <c r="O108" s="186"/>
    </row>
    <row r="110" spans="5:15" x14ac:dyDescent="0.2">
      <c r="E110" s="184" t="s">
        <v>278</v>
      </c>
      <c r="F110" s="186">
        <f t="shared" ref="F110:F114" si="48">F95</f>
        <v>7.5044967880085656</v>
      </c>
      <c r="G110" s="186">
        <f t="shared" ref="G110:G114" si="49">1000/F110</f>
        <v>133.25343833818408</v>
      </c>
      <c r="H110" s="49">
        <f>IF(G110&lt;120,1,0)</f>
        <v>0</v>
      </c>
      <c r="I110" s="49">
        <f>IF(G110&lt;60,1,0)</f>
        <v>0</v>
      </c>
      <c r="J110" s="49">
        <f>IF(G110&lt;30,1,0)</f>
        <v>0</v>
      </c>
      <c r="K110" s="49">
        <f>IF(G110&lt;15,1,0)</f>
        <v>0</v>
      </c>
      <c r="L110" s="49">
        <f t="shared" ref="L110:L114" si="50">SUM(H110:K110)</f>
        <v>0</v>
      </c>
      <c r="M110" s="204">
        <f t="shared" ref="M110:M114" si="51">1000/(1+L110)</f>
        <v>1000</v>
      </c>
      <c r="N110" s="49">
        <f t="shared" ref="N110:N114" si="52">F110/(1+L110)</f>
        <v>7.5044967880085656</v>
      </c>
      <c r="O110" s="186">
        <f t="shared" ref="O110:O114" si="53">1000/N110</f>
        <v>133.25343833818408</v>
      </c>
    </row>
    <row r="111" spans="5:15" x14ac:dyDescent="0.2">
      <c r="E111" s="184" t="s">
        <v>279</v>
      </c>
      <c r="F111" s="186">
        <f t="shared" si="48"/>
        <v>4.7755888650963598</v>
      </c>
      <c r="G111" s="186">
        <f t="shared" si="49"/>
        <v>209.39826024571786</v>
      </c>
      <c r="H111" s="49">
        <f>IF(G111&lt;120,1,0)</f>
        <v>0</v>
      </c>
      <c r="I111" s="49">
        <f>IF(G111&lt;60,1,0)</f>
        <v>0</v>
      </c>
      <c r="J111" s="49">
        <f>IF(G111&lt;30,1,0)</f>
        <v>0</v>
      </c>
      <c r="K111" s="49">
        <f>IF(G111&lt;15,1,0)</f>
        <v>0</v>
      </c>
      <c r="L111" s="49">
        <f t="shared" si="50"/>
        <v>0</v>
      </c>
      <c r="M111" s="204">
        <f t="shared" si="51"/>
        <v>1000</v>
      </c>
      <c r="N111" s="49">
        <f t="shared" si="52"/>
        <v>4.7755888650963598</v>
      </c>
      <c r="O111" s="186">
        <f t="shared" si="53"/>
        <v>209.39826024571786</v>
      </c>
    </row>
    <row r="112" spans="5:15" x14ac:dyDescent="0.2">
      <c r="E112" s="184" t="s">
        <v>280</v>
      </c>
      <c r="F112" s="186">
        <f t="shared" si="48"/>
        <v>2.7289079229122053</v>
      </c>
      <c r="G112" s="186">
        <f t="shared" si="49"/>
        <v>366.44695543000631</v>
      </c>
      <c r="H112" s="49">
        <f>IF(G112&lt;120,1,0)</f>
        <v>0</v>
      </c>
      <c r="I112" s="49">
        <f>IF(G112&lt;60,1,0)</f>
        <v>0</v>
      </c>
      <c r="J112" s="49">
        <f>IF(G112&lt;30,1,0)</f>
        <v>0</v>
      </c>
      <c r="K112" s="49">
        <f>IF(G112&lt;15,1,0)</f>
        <v>0</v>
      </c>
      <c r="L112" s="49">
        <f t="shared" si="50"/>
        <v>0</v>
      </c>
      <c r="M112" s="204">
        <f t="shared" si="51"/>
        <v>1000</v>
      </c>
      <c r="N112" s="49">
        <f t="shared" si="52"/>
        <v>2.7289079229122053</v>
      </c>
      <c r="O112" s="186">
        <f t="shared" si="53"/>
        <v>366.44695543000631</v>
      </c>
    </row>
    <row r="113" spans="4:19" x14ac:dyDescent="0.2">
      <c r="E113" s="184" t="s">
        <v>303</v>
      </c>
      <c r="F113" s="186">
        <f t="shared" si="48"/>
        <v>4.434475374732334</v>
      </c>
      <c r="G113" s="186">
        <f t="shared" si="49"/>
        <v>225.50581872615771</v>
      </c>
      <c r="H113" s="49">
        <f>IF(G113&lt;120,1,0)</f>
        <v>0</v>
      </c>
      <c r="I113" s="49">
        <f>IF(G113&lt;60,1,0)</f>
        <v>0</v>
      </c>
      <c r="J113" s="49">
        <f>IF(G113&lt;30,1,0)</f>
        <v>0</v>
      </c>
      <c r="K113" s="49">
        <f>IF(G113&lt;15,1,0)</f>
        <v>0</v>
      </c>
      <c r="L113" s="49">
        <f t="shared" si="50"/>
        <v>0</v>
      </c>
      <c r="M113" s="204">
        <f t="shared" si="51"/>
        <v>1000</v>
      </c>
      <c r="N113" s="49">
        <f t="shared" si="52"/>
        <v>4.434475374732334</v>
      </c>
      <c r="O113" s="186">
        <f t="shared" si="53"/>
        <v>225.50581872615771</v>
      </c>
    </row>
    <row r="114" spans="4:19" x14ac:dyDescent="0.2">
      <c r="E114" s="184" t="s">
        <v>305</v>
      </c>
      <c r="F114" s="186">
        <f t="shared" si="48"/>
        <v>3.7522483940042828</v>
      </c>
      <c r="G114" s="186">
        <f t="shared" si="49"/>
        <v>266.50687667636817</v>
      </c>
      <c r="H114" s="49">
        <f>IF(G114&lt;120,1,0)</f>
        <v>0</v>
      </c>
      <c r="I114" s="49">
        <f>IF(G114&lt;60,1,0)</f>
        <v>0</v>
      </c>
      <c r="J114" s="49">
        <f>IF(G114&lt;30,1,0)</f>
        <v>0</v>
      </c>
      <c r="K114" s="49">
        <f>IF(G114&lt;15,1,0)</f>
        <v>0</v>
      </c>
      <c r="L114" s="49">
        <f t="shared" si="50"/>
        <v>0</v>
      </c>
      <c r="M114" s="204">
        <f t="shared" si="51"/>
        <v>1000</v>
      </c>
      <c r="N114" s="49">
        <f t="shared" si="52"/>
        <v>3.7522483940042828</v>
      </c>
      <c r="O114" s="186">
        <f t="shared" si="53"/>
        <v>266.50687667636817</v>
      </c>
    </row>
    <row r="115" spans="4:19" x14ac:dyDescent="0.2">
      <c r="E115" s="184"/>
      <c r="F115" s="186"/>
      <c r="G115" s="186"/>
      <c r="M115" s="204"/>
      <c r="O115" s="186"/>
    </row>
    <row r="117" spans="4:19" x14ac:dyDescent="0.2">
      <c r="D117" s="184" t="s">
        <v>241</v>
      </c>
      <c r="E117" s="184" t="s">
        <v>210</v>
      </c>
    </row>
    <row r="118" spans="4:19" x14ac:dyDescent="0.2">
      <c r="D118" s="49">
        <f>IF($B$5&gt;0,1,0)</f>
        <v>0</v>
      </c>
      <c r="E118" s="184">
        <f>IF($B$2+$B$3&gt;0,1,0)</f>
        <v>0</v>
      </c>
      <c r="O118" s="185"/>
      <c r="P118" s="185" t="s">
        <v>229</v>
      </c>
      <c r="Q118" s="185"/>
      <c r="S118" s="202"/>
    </row>
    <row r="119" spans="4:19" x14ac:dyDescent="0.2">
      <c r="E119" s="184"/>
      <c r="G119" s="184" t="s">
        <v>218</v>
      </c>
      <c r="H119" s="184" t="s">
        <v>217</v>
      </c>
      <c r="I119" s="184" t="s">
        <v>219</v>
      </c>
      <c r="J119" s="184" t="s">
        <v>220</v>
      </c>
      <c r="K119" s="184" t="s">
        <v>221</v>
      </c>
      <c r="L119" s="184" t="s">
        <v>222</v>
      </c>
      <c r="O119" s="185"/>
      <c r="P119" s="185" t="s">
        <v>221</v>
      </c>
      <c r="Q119" s="185" t="s">
        <v>230</v>
      </c>
      <c r="R119" s="185" t="s">
        <v>231</v>
      </c>
      <c r="S119" s="205" t="s">
        <v>232</v>
      </c>
    </row>
    <row r="120" spans="4:19" x14ac:dyDescent="0.2">
      <c r="E120" s="184" t="s">
        <v>284</v>
      </c>
      <c r="F120" s="49">
        <f>F95*2</f>
        <v>15.008993576017131</v>
      </c>
      <c r="G120" s="49">
        <f t="shared" ref="G120:G124" si="54">$C$2</f>
        <v>0</v>
      </c>
      <c r="H120" s="49" t="e">
        <f t="shared" ref="H120:H124" si="55">1000/G120</f>
        <v>#DIV/0!</v>
      </c>
      <c r="I120" s="186" t="e">
        <f t="shared" ref="I120:I124" si="56">F120/H120</f>
        <v>#DIV/0!</v>
      </c>
      <c r="J120" s="186" t="e">
        <f t="shared" ref="J120:J124" si="57">ROUNDUP(I120,-0.1)</f>
        <v>#DIV/0!</v>
      </c>
      <c r="K120" s="204" t="e">
        <f t="shared" ref="K120:K124" si="58">J120-1</f>
        <v>#DIV/0!</v>
      </c>
      <c r="L120" s="204" t="e">
        <f t="shared" ref="L120:L124" si="59">2000/J120</f>
        <v>#DIV/0!</v>
      </c>
      <c r="O120" s="185" t="s">
        <v>271</v>
      </c>
      <c r="P120" s="206">
        <f t="shared" ref="P120:P124" si="60">IF($E$68&gt;0,K120,L103)</f>
        <v>1</v>
      </c>
      <c r="Q120" s="207">
        <f t="shared" ref="Q120:Q124" si="61">IF($E$68&gt;0,G120,O103)</f>
        <v>133.25343833818408</v>
      </c>
      <c r="R120" s="207">
        <f t="shared" ref="R120:R124" si="62">1000/Q120</f>
        <v>7.5044967880085665</v>
      </c>
      <c r="S120" s="208">
        <f t="shared" ref="S120:S124" si="63">2000/(1+P120)</f>
        <v>1000</v>
      </c>
    </row>
    <row r="121" spans="4:19" x14ac:dyDescent="0.2">
      <c r="E121" s="184" t="s">
        <v>285</v>
      </c>
      <c r="F121" s="49">
        <f t="shared" ref="F121:F124" si="64">F96*2</f>
        <v>9.5511777301927197</v>
      </c>
      <c r="G121" s="49">
        <f t="shared" si="54"/>
        <v>0</v>
      </c>
      <c r="H121" s="49" t="e">
        <f t="shared" si="55"/>
        <v>#DIV/0!</v>
      </c>
      <c r="I121" s="186" t="e">
        <f t="shared" si="56"/>
        <v>#DIV/0!</v>
      </c>
      <c r="J121" s="186" t="e">
        <f t="shared" si="57"/>
        <v>#DIV/0!</v>
      </c>
      <c r="K121" s="204" t="e">
        <f t="shared" si="58"/>
        <v>#DIV/0!</v>
      </c>
      <c r="L121" s="204" t="e">
        <f t="shared" si="59"/>
        <v>#DIV/0!</v>
      </c>
      <c r="O121" s="185" t="s">
        <v>290</v>
      </c>
      <c r="P121" s="206">
        <f t="shared" si="60"/>
        <v>1</v>
      </c>
      <c r="Q121" s="207">
        <f t="shared" si="61"/>
        <v>209.39826024571786</v>
      </c>
      <c r="R121" s="207">
        <f t="shared" si="62"/>
        <v>4.7755888650963598</v>
      </c>
      <c r="S121" s="208">
        <f t="shared" si="63"/>
        <v>1000</v>
      </c>
    </row>
    <row r="122" spans="4:19" x14ac:dyDescent="0.2">
      <c r="E122" s="184" t="s">
        <v>286</v>
      </c>
      <c r="F122" s="49">
        <f t="shared" si="64"/>
        <v>5.4578158458244106</v>
      </c>
      <c r="G122" s="49">
        <f t="shared" si="54"/>
        <v>0</v>
      </c>
      <c r="H122" s="49" t="e">
        <f t="shared" si="55"/>
        <v>#DIV/0!</v>
      </c>
      <c r="I122" s="186" t="e">
        <f t="shared" si="56"/>
        <v>#DIV/0!</v>
      </c>
      <c r="J122" s="186" t="e">
        <f t="shared" si="57"/>
        <v>#DIV/0!</v>
      </c>
      <c r="K122" s="204" t="e">
        <f t="shared" si="58"/>
        <v>#DIV/0!</v>
      </c>
      <c r="L122" s="204" t="e">
        <f t="shared" si="59"/>
        <v>#DIV/0!</v>
      </c>
      <c r="O122" s="185" t="s">
        <v>273</v>
      </c>
      <c r="P122" s="206">
        <f t="shared" si="60"/>
        <v>0</v>
      </c>
      <c r="Q122" s="207">
        <f t="shared" si="61"/>
        <v>183.22347771500316</v>
      </c>
      <c r="R122" s="207">
        <f t="shared" si="62"/>
        <v>5.4578158458244106</v>
      </c>
      <c r="S122" s="208">
        <f t="shared" si="63"/>
        <v>2000</v>
      </c>
    </row>
    <row r="123" spans="4:19" x14ac:dyDescent="0.2">
      <c r="E123" s="184" t="s">
        <v>306</v>
      </c>
      <c r="F123" s="49">
        <f t="shared" si="64"/>
        <v>8.868950749464668</v>
      </c>
      <c r="G123" s="49">
        <f t="shared" si="54"/>
        <v>0</v>
      </c>
      <c r="H123" s="49" t="e">
        <f t="shared" si="55"/>
        <v>#DIV/0!</v>
      </c>
      <c r="I123" s="186" t="e">
        <f t="shared" si="56"/>
        <v>#DIV/0!</v>
      </c>
      <c r="J123" s="186" t="e">
        <f t="shared" si="57"/>
        <v>#DIV/0!</v>
      </c>
      <c r="K123" s="204" t="e">
        <f t="shared" si="58"/>
        <v>#DIV/0!</v>
      </c>
      <c r="L123" s="204" t="e">
        <f t="shared" si="59"/>
        <v>#DIV/0!</v>
      </c>
      <c r="O123" s="185" t="s">
        <v>306</v>
      </c>
      <c r="P123" s="206">
        <f t="shared" si="60"/>
        <v>1</v>
      </c>
      <c r="Q123" s="207">
        <f t="shared" si="61"/>
        <v>225.50581872615771</v>
      </c>
      <c r="R123" s="207">
        <f t="shared" si="62"/>
        <v>4.434475374732334</v>
      </c>
      <c r="S123" s="208">
        <f t="shared" si="63"/>
        <v>1000</v>
      </c>
    </row>
    <row r="124" spans="4:19" x14ac:dyDescent="0.2">
      <c r="E124" s="184" t="s">
        <v>304</v>
      </c>
      <c r="F124" s="49">
        <f t="shared" si="64"/>
        <v>7.5044967880085656</v>
      </c>
      <c r="G124" s="49">
        <f t="shared" si="54"/>
        <v>0</v>
      </c>
      <c r="H124" s="49" t="e">
        <f t="shared" si="55"/>
        <v>#DIV/0!</v>
      </c>
      <c r="I124" s="186" t="e">
        <f t="shared" si="56"/>
        <v>#DIV/0!</v>
      </c>
      <c r="J124" s="186" t="e">
        <f t="shared" si="57"/>
        <v>#DIV/0!</v>
      </c>
      <c r="K124" s="204" t="e">
        <f t="shared" si="58"/>
        <v>#DIV/0!</v>
      </c>
      <c r="L124" s="204" t="e">
        <f t="shared" si="59"/>
        <v>#DIV/0!</v>
      </c>
      <c r="O124" s="185" t="s">
        <v>312</v>
      </c>
      <c r="P124" s="206">
        <f t="shared" si="60"/>
        <v>0</v>
      </c>
      <c r="Q124" s="207">
        <f t="shared" si="61"/>
        <v>133.25343833818408</v>
      </c>
      <c r="R124" s="207">
        <f t="shared" si="62"/>
        <v>7.5044967880085665</v>
      </c>
      <c r="S124" s="208">
        <f t="shared" si="63"/>
        <v>2000</v>
      </c>
    </row>
    <row r="125" spans="4:19" x14ac:dyDescent="0.2">
      <c r="E125" s="184"/>
      <c r="I125" s="186"/>
      <c r="J125" s="186"/>
      <c r="K125" s="204"/>
      <c r="L125" s="204"/>
      <c r="O125" s="185"/>
      <c r="P125" s="206"/>
      <c r="Q125" s="207"/>
      <c r="R125" s="207"/>
      <c r="S125" s="208"/>
    </row>
    <row r="126" spans="4:19" x14ac:dyDescent="0.2">
      <c r="Q126" s="186"/>
    </row>
    <row r="127" spans="4:19" x14ac:dyDescent="0.2">
      <c r="E127" s="184" t="s">
        <v>278</v>
      </c>
      <c r="F127" s="186">
        <f t="shared" ref="F127:F131" si="65">F95</f>
        <v>7.5044967880085656</v>
      </c>
      <c r="G127" s="49">
        <f t="shared" ref="G127:G131" si="66">$C$2</f>
        <v>0</v>
      </c>
      <c r="H127" s="49" t="e">
        <f t="shared" ref="H127:H131" si="67">1000/G127</f>
        <v>#DIV/0!</v>
      </c>
      <c r="I127" s="186" t="e">
        <f t="shared" ref="I127:I131" si="68">F127/H127</f>
        <v>#DIV/0!</v>
      </c>
      <c r="J127" s="186" t="e">
        <f t="shared" ref="J127:J131" si="69">ROUNDUP(I127,-0.1)</f>
        <v>#DIV/0!</v>
      </c>
      <c r="K127" s="204" t="e">
        <f t="shared" ref="K127:K131" si="70">J127-1</f>
        <v>#DIV/0!</v>
      </c>
      <c r="L127" s="204" t="e">
        <f t="shared" ref="L127:L131" si="71">1000/J127</f>
        <v>#DIV/0!</v>
      </c>
      <c r="O127" s="185" t="s">
        <v>278</v>
      </c>
      <c r="P127" s="206">
        <f t="shared" ref="P127:P131" si="72">IF($E$68&gt;0,K127,L110)</f>
        <v>0</v>
      </c>
      <c r="Q127" s="207">
        <f t="shared" ref="Q127:Q131" si="73">IF($E$68&gt;0,G127,O110)</f>
        <v>133.25343833818408</v>
      </c>
      <c r="R127" s="207">
        <f t="shared" ref="R127:R131" si="74">1000/Q127</f>
        <v>7.5044967880085665</v>
      </c>
      <c r="S127" s="208">
        <f t="shared" ref="S127:S131" si="75">1000/(1+P127)</f>
        <v>1000</v>
      </c>
    </row>
    <row r="128" spans="4:19" x14ac:dyDescent="0.2">
      <c r="E128" s="184" t="s">
        <v>279</v>
      </c>
      <c r="F128" s="186">
        <f t="shared" si="65"/>
        <v>4.7755888650963598</v>
      </c>
      <c r="G128" s="49">
        <f t="shared" si="66"/>
        <v>0</v>
      </c>
      <c r="H128" s="49" t="e">
        <f t="shared" si="67"/>
        <v>#DIV/0!</v>
      </c>
      <c r="I128" s="186" t="e">
        <f t="shared" si="68"/>
        <v>#DIV/0!</v>
      </c>
      <c r="J128" s="186" t="e">
        <f t="shared" si="69"/>
        <v>#DIV/0!</v>
      </c>
      <c r="K128" s="204" t="e">
        <f t="shared" si="70"/>
        <v>#DIV/0!</v>
      </c>
      <c r="L128" s="204" t="e">
        <f t="shared" si="71"/>
        <v>#DIV/0!</v>
      </c>
      <c r="O128" s="185" t="s">
        <v>291</v>
      </c>
      <c r="P128" s="206">
        <f t="shared" si="72"/>
        <v>0</v>
      </c>
      <c r="Q128" s="207">
        <f t="shared" si="73"/>
        <v>209.39826024571786</v>
      </c>
      <c r="R128" s="207">
        <f t="shared" si="74"/>
        <v>4.7755888650963598</v>
      </c>
      <c r="S128" s="208">
        <f t="shared" si="75"/>
        <v>1000</v>
      </c>
    </row>
    <row r="129" spans="1:19" x14ac:dyDescent="0.2">
      <c r="E129" s="184" t="s">
        <v>280</v>
      </c>
      <c r="F129" s="186">
        <f t="shared" si="65"/>
        <v>2.7289079229122053</v>
      </c>
      <c r="G129" s="49">
        <f t="shared" si="66"/>
        <v>0</v>
      </c>
      <c r="H129" s="49" t="e">
        <f t="shared" si="67"/>
        <v>#DIV/0!</v>
      </c>
      <c r="I129" s="186" t="e">
        <f t="shared" si="68"/>
        <v>#DIV/0!</v>
      </c>
      <c r="J129" s="186" t="e">
        <f t="shared" si="69"/>
        <v>#DIV/0!</v>
      </c>
      <c r="K129" s="204" t="e">
        <f t="shared" si="70"/>
        <v>#DIV/0!</v>
      </c>
      <c r="L129" s="204" t="e">
        <f t="shared" si="71"/>
        <v>#DIV/0!</v>
      </c>
      <c r="O129" s="185" t="s">
        <v>280</v>
      </c>
      <c r="P129" s="206">
        <f t="shared" si="72"/>
        <v>0</v>
      </c>
      <c r="Q129" s="207">
        <f t="shared" si="73"/>
        <v>366.44695543000631</v>
      </c>
      <c r="R129" s="207">
        <f t="shared" si="74"/>
        <v>2.7289079229122053</v>
      </c>
      <c r="S129" s="208">
        <f t="shared" si="75"/>
        <v>1000</v>
      </c>
    </row>
    <row r="130" spans="1:19" x14ac:dyDescent="0.2">
      <c r="E130" s="184" t="s">
        <v>303</v>
      </c>
      <c r="F130" s="186">
        <f t="shared" si="65"/>
        <v>4.434475374732334</v>
      </c>
      <c r="G130" s="49">
        <f t="shared" si="66"/>
        <v>0</v>
      </c>
      <c r="H130" s="49" t="e">
        <f t="shared" si="67"/>
        <v>#DIV/0!</v>
      </c>
      <c r="I130" s="186" t="e">
        <f t="shared" si="68"/>
        <v>#DIV/0!</v>
      </c>
      <c r="J130" s="186" t="e">
        <f t="shared" si="69"/>
        <v>#DIV/0!</v>
      </c>
      <c r="K130" s="204" t="e">
        <f t="shared" si="70"/>
        <v>#DIV/0!</v>
      </c>
      <c r="L130" s="204" t="e">
        <f t="shared" si="71"/>
        <v>#DIV/0!</v>
      </c>
      <c r="O130" s="185" t="s">
        <v>303</v>
      </c>
      <c r="P130" s="206">
        <f t="shared" si="72"/>
        <v>0</v>
      </c>
      <c r="Q130" s="207">
        <f t="shared" si="73"/>
        <v>225.50581872615771</v>
      </c>
      <c r="R130" s="207">
        <f t="shared" si="74"/>
        <v>4.434475374732334</v>
      </c>
      <c r="S130" s="208">
        <f t="shared" si="75"/>
        <v>1000</v>
      </c>
    </row>
    <row r="131" spans="1:19" x14ac:dyDescent="0.2">
      <c r="E131" s="184" t="s">
        <v>305</v>
      </c>
      <c r="F131" s="186">
        <f t="shared" si="65"/>
        <v>3.7522483940042828</v>
      </c>
      <c r="G131" s="49">
        <f t="shared" si="66"/>
        <v>0</v>
      </c>
      <c r="H131" s="49" t="e">
        <f t="shared" si="67"/>
        <v>#DIV/0!</v>
      </c>
      <c r="I131" s="186" t="e">
        <f t="shared" si="68"/>
        <v>#DIV/0!</v>
      </c>
      <c r="J131" s="186" t="e">
        <f t="shared" si="69"/>
        <v>#DIV/0!</v>
      </c>
      <c r="K131" s="204" t="e">
        <f t="shared" si="70"/>
        <v>#DIV/0!</v>
      </c>
      <c r="L131" s="204" t="e">
        <f t="shared" si="71"/>
        <v>#DIV/0!</v>
      </c>
      <c r="O131" s="185" t="s">
        <v>311</v>
      </c>
      <c r="P131" s="206">
        <f t="shared" si="72"/>
        <v>0</v>
      </c>
      <c r="Q131" s="207">
        <f t="shared" si="73"/>
        <v>266.50687667636817</v>
      </c>
      <c r="R131" s="207">
        <f t="shared" si="74"/>
        <v>3.7522483940042832</v>
      </c>
      <c r="S131" s="208">
        <f t="shared" si="75"/>
        <v>1000</v>
      </c>
    </row>
    <row r="132" spans="1:19" x14ac:dyDescent="0.2">
      <c r="E132" s="184"/>
      <c r="F132" s="186"/>
      <c r="I132" s="186"/>
      <c r="J132" s="186"/>
      <c r="K132" s="204"/>
      <c r="L132" s="204"/>
      <c r="O132" s="185"/>
      <c r="P132" s="206"/>
      <c r="Q132" s="207"/>
      <c r="R132" s="207"/>
      <c r="S132" s="208"/>
    </row>
    <row r="135" spans="1:19" x14ac:dyDescent="0.2">
      <c r="A135" s="203"/>
      <c r="E135" s="49">
        <f>IF($E$16+$D$16&gt;0,$C$5,3)</f>
        <v>3</v>
      </c>
    </row>
    <row r="136" spans="1:19" x14ac:dyDescent="0.2">
      <c r="A136" s="203"/>
    </row>
    <row r="137" spans="1:19" x14ac:dyDescent="0.2">
      <c r="A137" s="203"/>
      <c r="E137" s="184" t="s">
        <v>264</v>
      </c>
      <c r="F137" s="49">
        <f>IF($C$2+$C$5&gt;0,VLOOKUP($E$27,bond_val_kN[#All],2,FALSE)*-1,-3)</f>
        <v>-3</v>
      </c>
    </row>
    <row r="138" spans="1:19" x14ac:dyDescent="0.2">
      <c r="A138" s="203"/>
      <c r="E138" s="184" t="s">
        <v>298</v>
      </c>
      <c r="F138" s="49">
        <f>IF($C$2+$C$5&gt;0,VLOOKUP($E$27,bond_val_kN[],2,FALSE)*-1,-3)</f>
        <v>-3</v>
      </c>
    </row>
    <row r="139" spans="1:19" x14ac:dyDescent="0.2">
      <c r="A139" s="203"/>
      <c r="E139" s="184" t="s">
        <v>266</v>
      </c>
      <c r="F139" s="49">
        <f>IF($C$2+$C$5&gt;0,VLOOKUP($E$27,bond_val_kN[],2,FALSE)*-1,-3)</f>
        <v>-3</v>
      </c>
    </row>
    <row r="140" spans="1:19" x14ac:dyDescent="0.2">
      <c r="A140" s="203"/>
      <c r="E140" s="184" t="s">
        <v>307</v>
      </c>
      <c r="F140" s="49">
        <f>IF($C$2+$C$5&gt;0,VLOOKUP($E$27,bond_val_kN[],2,FALSE)*-1,-3)</f>
        <v>-3</v>
      </c>
    </row>
    <row r="141" spans="1:19" x14ac:dyDescent="0.2">
      <c r="A141" s="203"/>
      <c r="E141" s="184" t="s">
        <v>300</v>
      </c>
      <c r="F141" s="49">
        <f>IF($C$2+$C$5&gt;0,VLOOKUP($E$27,bond_val_kN[],2,FALSE)*-1,-3)</f>
        <v>-3</v>
      </c>
    </row>
    <row r="142" spans="1:19" x14ac:dyDescent="0.2">
      <c r="A142" s="201"/>
      <c r="D142" s="184"/>
      <c r="E142" s="184"/>
    </row>
    <row r="144" spans="1:19" x14ac:dyDescent="0.2">
      <c r="A144" s="215" t="s">
        <v>309</v>
      </c>
    </row>
    <row r="145" spans="5:15" x14ac:dyDescent="0.2">
      <c r="E145" s="184" t="s">
        <v>264</v>
      </c>
      <c r="F145" s="186">
        <f>'Barrel Vault Roof'!D44</f>
        <v>7.5044967880085656</v>
      </c>
    </row>
    <row r="146" spans="5:15" x14ac:dyDescent="0.2">
      <c r="E146" s="184" t="s">
        <v>265</v>
      </c>
      <c r="F146" s="186">
        <f>'Barrel Vault Roof'!E44</f>
        <v>4.7755888650963598</v>
      </c>
    </row>
    <row r="147" spans="5:15" x14ac:dyDescent="0.2">
      <c r="E147" s="184" t="s">
        <v>266</v>
      </c>
      <c r="F147" s="186">
        <f>'Barrel Vault Roof'!F44</f>
        <v>3.0700214132762311</v>
      </c>
    </row>
    <row r="148" spans="5:15" x14ac:dyDescent="0.2">
      <c r="E148" s="184" t="s">
        <v>301</v>
      </c>
      <c r="F148" s="186">
        <f>'Barrel Vault Roof'!G44</f>
        <v>5.4578158458244106</v>
      </c>
    </row>
    <row r="149" spans="5:15" x14ac:dyDescent="0.2">
      <c r="E149" s="184"/>
      <c r="F149" s="186"/>
    </row>
    <row r="150" spans="5:15" x14ac:dyDescent="0.2">
      <c r="E150" s="184"/>
      <c r="F150" s="186"/>
    </row>
    <row r="152" spans="5:15" x14ac:dyDescent="0.2">
      <c r="G152" s="184" t="s">
        <v>202</v>
      </c>
      <c r="H152" s="184" t="s">
        <v>204</v>
      </c>
      <c r="I152" s="184" t="s">
        <v>205</v>
      </c>
      <c r="J152" s="184" t="s">
        <v>206</v>
      </c>
      <c r="K152" s="184" t="s">
        <v>207</v>
      </c>
      <c r="L152" s="184" t="s">
        <v>208</v>
      </c>
      <c r="M152" s="184" t="s">
        <v>209</v>
      </c>
      <c r="N152" s="184" t="s">
        <v>224</v>
      </c>
      <c r="O152" s="184" t="s">
        <v>223</v>
      </c>
    </row>
    <row r="153" spans="5:15" x14ac:dyDescent="0.2">
      <c r="E153" s="184" t="s">
        <v>271</v>
      </c>
      <c r="F153" s="49">
        <f t="shared" ref="F153:F156" si="76">F145*2</f>
        <v>15.008993576017131</v>
      </c>
      <c r="G153" s="186">
        <f t="shared" ref="G153:G156" si="77">1000/F153</f>
        <v>66.626719169092041</v>
      </c>
      <c r="H153" s="49">
        <f>IF(G153&lt;120,1,0)</f>
        <v>1</v>
      </c>
      <c r="I153" s="49">
        <f>IF(G153&lt;60,1,0)</f>
        <v>0</v>
      </c>
      <c r="J153" s="49">
        <f>IF(G153&lt;30,1,0)</f>
        <v>0</v>
      </c>
      <c r="K153" s="49">
        <f>IF(G153&lt;15,1,0)</f>
        <v>0</v>
      </c>
      <c r="L153" s="49">
        <f t="shared" ref="L153:L156" si="78">SUM(H153:K153)</f>
        <v>1</v>
      </c>
      <c r="M153" s="204">
        <f t="shared" ref="M153:M156" si="79">2000/(1+L153)</f>
        <v>1000</v>
      </c>
      <c r="N153" s="49">
        <f t="shared" ref="N153:N156" si="80">F153/(1+L153)</f>
        <v>7.5044967880085656</v>
      </c>
      <c r="O153" s="186">
        <f t="shared" ref="O153:O156" si="81">1000/N153</f>
        <v>133.25343833818408</v>
      </c>
    </row>
    <row r="154" spans="5:15" x14ac:dyDescent="0.2">
      <c r="E154" s="184" t="s">
        <v>272</v>
      </c>
      <c r="F154" s="49">
        <f t="shared" si="76"/>
        <v>9.5511777301927197</v>
      </c>
      <c r="G154" s="186">
        <f t="shared" si="77"/>
        <v>104.69913012285893</v>
      </c>
      <c r="H154" s="49">
        <f>IF(G154&lt;120,1,0)</f>
        <v>1</v>
      </c>
      <c r="I154" s="49">
        <f>IF(G154&lt;60,1,0)</f>
        <v>0</v>
      </c>
      <c r="J154" s="49">
        <f>IF(G154&lt;30,1,0)</f>
        <v>0</v>
      </c>
      <c r="K154" s="49">
        <f>IF(G154&lt;15,1,0)</f>
        <v>0</v>
      </c>
      <c r="L154" s="49">
        <f t="shared" si="78"/>
        <v>1</v>
      </c>
      <c r="M154" s="204">
        <f t="shared" si="79"/>
        <v>1000</v>
      </c>
      <c r="N154" s="49">
        <f t="shared" si="80"/>
        <v>4.7755888650963598</v>
      </c>
      <c r="O154" s="186">
        <f t="shared" si="81"/>
        <v>209.39826024571786</v>
      </c>
    </row>
    <row r="155" spans="5:15" x14ac:dyDescent="0.2">
      <c r="E155" s="184" t="s">
        <v>273</v>
      </c>
      <c r="F155" s="49">
        <f t="shared" si="76"/>
        <v>6.1400428265524623</v>
      </c>
      <c r="G155" s="186">
        <f t="shared" si="77"/>
        <v>162.86531352444723</v>
      </c>
      <c r="H155" s="49">
        <f>IF(G155&lt;120,1,0)</f>
        <v>0</v>
      </c>
      <c r="I155" s="49">
        <f>IF(G155&lt;60,1,0)</f>
        <v>0</v>
      </c>
      <c r="J155" s="49">
        <f>IF(G155&lt;30,1,0)</f>
        <v>0</v>
      </c>
      <c r="K155" s="49">
        <f>IF(G155&lt;15,1,0)</f>
        <v>0</v>
      </c>
      <c r="L155" s="49">
        <f t="shared" si="78"/>
        <v>0</v>
      </c>
      <c r="M155" s="204">
        <f t="shared" si="79"/>
        <v>2000</v>
      </c>
      <c r="N155" s="49">
        <f t="shared" si="80"/>
        <v>6.1400428265524623</v>
      </c>
      <c r="O155" s="186">
        <f t="shared" si="81"/>
        <v>162.86531352444723</v>
      </c>
    </row>
    <row r="156" spans="5:15" x14ac:dyDescent="0.2">
      <c r="E156" s="184" t="s">
        <v>302</v>
      </c>
      <c r="F156" s="49">
        <f t="shared" si="76"/>
        <v>10.915631691648821</v>
      </c>
      <c r="G156" s="186">
        <f t="shared" si="77"/>
        <v>91.611738857501578</v>
      </c>
      <c r="H156" s="49">
        <f>IF(G156&lt;120,1,0)</f>
        <v>1</v>
      </c>
      <c r="I156" s="49">
        <f>IF(G156&lt;60,1,0)</f>
        <v>0</v>
      </c>
      <c r="J156" s="49">
        <f>IF(G156&lt;30,1,0)</f>
        <v>0</v>
      </c>
      <c r="K156" s="49">
        <f>IF(G156&lt;15,1,0)</f>
        <v>0</v>
      </c>
      <c r="L156" s="49">
        <f t="shared" si="78"/>
        <v>1</v>
      </c>
      <c r="M156" s="204">
        <f t="shared" si="79"/>
        <v>1000</v>
      </c>
      <c r="N156" s="49">
        <f t="shared" si="80"/>
        <v>5.4578158458244106</v>
      </c>
      <c r="O156" s="186">
        <f t="shared" si="81"/>
        <v>183.22347771500316</v>
      </c>
    </row>
    <row r="157" spans="5:15" x14ac:dyDescent="0.2">
      <c r="E157" s="184"/>
      <c r="G157" s="186"/>
      <c r="M157" s="204"/>
      <c r="O157" s="186"/>
    </row>
    <row r="158" spans="5:15" x14ac:dyDescent="0.2">
      <c r="E158" s="184"/>
      <c r="G158" s="186"/>
      <c r="M158" s="204"/>
      <c r="O158" s="186"/>
    </row>
    <row r="160" spans="5:15" x14ac:dyDescent="0.2">
      <c r="E160" s="184" t="s">
        <v>278</v>
      </c>
      <c r="F160" s="186">
        <f t="shared" ref="F160:F163" si="82">F145</f>
        <v>7.5044967880085656</v>
      </c>
      <c r="G160" s="186">
        <f t="shared" ref="G160:G163" si="83">1000/F160</f>
        <v>133.25343833818408</v>
      </c>
      <c r="H160" s="49">
        <f>IF(G160&lt;120,1,0)</f>
        <v>0</v>
      </c>
      <c r="I160" s="49">
        <f>IF(G160&lt;60,1,0)</f>
        <v>0</v>
      </c>
      <c r="J160" s="49">
        <f>IF(G160&lt;30,1,0)</f>
        <v>0</v>
      </c>
      <c r="K160" s="49">
        <f>IF(G160&lt;15,1,0)</f>
        <v>0</v>
      </c>
      <c r="L160" s="49">
        <f t="shared" ref="L160:L163" si="84">SUM(H160:K160)</f>
        <v>0</v>
      </c>
      <c r="M160" s="204">
        <f t="shared" ref="M160:M163" si="85">1000/(1+L160)</f>
        <v>1000</v>
      </c>
      <c r="N160" s="49">
        <f t="shared" ref="N160:N163" si="86">F160/(1+L160)</f>
        <v>7.5044967880085656</v>
      </c>
      <c r="O160" s="186">
        <f t="shared" ref="O160:O163" si="87">1000/N160</f>
        <v>133.25343833818408</v>
      </c>
    </row>
    <row r="161" spans="4:19" x14ac:dyDescent="0.2">
      <c r="E161" s="184" t="s">
        <v>279</v>
      </c>
      <c r="F161" s="186">
        <f t="shared" si="82"/>
        <v>4.7755888650963598</v>
      </c>
      <c r="G161" s="186">
        <f t="shared" si="83"/>
        <v>209.39826024571786</v>
      </c>
      <c r="H161" s="49">
        <f>IF(G161&lt;120,1,0)</f>
        <v>0</v>
      </c>
      <c r="I161" s="49">
        <f>IF(G161&lt;60,1,0)</f>
        <v>0</v>
      </c>
      <c r="J161" s="49">
        <f>IF(G161&lt;30,1,0)</f>
        <v>0</v>
      </c>
      <c r="K161" s="49">
        <f>IF(G161&lt;15,1,0)</f>
        <v>0</v>
      </c>
      <c r="L161" s="49">
        <f t="shared" si="84"/>
        <v>0</v>
      </c>
      <c r="M161" s="204">
        <f t="shared" si="85"/>
        <v>1000</v>
      </c>
      <c r="N161" s="49">
        <f t="shared" si="86"/>
        <v>4.7755888650963598</v>
      </c>
      <c r="O161" s="186">
        <f t="shared" si="87"/>
        <v>209.39826024571786</v>
      </c>
    </row>
    <row r="162" spans="4:19" x14ac:dyDescent="0.2">
      <c r="E162" s="184" t="s">
        <v>280</v>
      </c>
      <c r="F162" s="186">
        <f t="shared" si="82"/>
        <v>3.0700214132762311</v>
      </c>
      <c r="G162" s="186">
        <f t="shared" si="83"/>
        <v>325.73062704889446</v>
      </c>
      <c r="H162" s="49">
        <f>IF(G162&lt;120,1,0)</f>
        <v>0</v>
      </c>
      <c r="I162" s="49">
        <f>IF(G162&lt;60,1,0)</f>
        <v>0</v>
      </c>
      <c r="J162" s="49">
        <f>IF(G162&lt;30,1,0)</f>
        <v>0</v>
      </c>
      <c r="K162" s="49">
        <f>IF(G162&lt;15,1,0)</f>
        <v>0</v>
      </c>
      <c r="L162" s="49">
        <f t="shared" si="84"/>
        <v>0</v>
      </c>
      <c r="M162" s="204">
        <f t="shared" si="85"/>
        <v>1000</v>
      </c>
      <c r="N162" s="49">
        <f t="shared" si="86"/>
        <v>3.0700214132762311</v>
      </c>
      <c r="O162" s="186">
        <f t="shared" si="87"/>
        <v>325.73062704889446</v>
      </c>
    </row>
    <row r="163" spans="4:19" x14ac:dyDescent="0.2">
      <c r="E163" s="184" t="s">
        <v>303</v>
      </c>
      <c r="F163" s="186">
        <f t="shared" si="82"/>
        <v>5.4578158458244106</v>
      </c>
      <c r="G163" s="186">
        <f t="shared" si="83"/>
        <v>183.22347771500316</v>
      </c>
      <c r="H163" s="49">
        <f>IF(G163&lt;120,1,0)</f>
        <v>0</v>
      </c>
      <c r="I163" s="49">
        <f>IF(G163&lt;60,1,0)</f>
        <v>0</v>
      </c>
      <c r="J163" s="49">
        <f>IF(G163&lt;30,1,0)</f>
        <v>0</v>
      </c>
      <c r="K163" s="49">
        <f>IF(G163&lt;15,1,0)</f>
        <v>0</v>
      </c>
      <c r="L163" s="49">
        <f t="shared" si="84"/>
        <v>0</v>
      </c>
      <c r="M163" s="204">
        <f t="shared" si="85"/>
        <v>1000</v>
      </c>
      <c r="N163" s="49">
        <f t="shared" si="86"/>
        <v>5.4578158458244106</v>
      </c>
      <c r="O163" s="186">
        <f t="shared" si="87"/>
        <v>183.22347771500316</v>
      </c>
    </row>
    <row r="164" spans="4:19" x14ac:dyDescent="0.2">
      <c r="E164" s="184"/>
      <c r="F164" s="186"/>
      <c r="G164" s="186"/>
      <c r="M164" s="204"/>
      <c r="O164" s="186"/>
    </row>
    <row r="165" spans="4:19" x14ac:dyDescent="0.2">
      <c r="E165" s="184"/>
      <c r="F165" s="186"/>
      <c r="G165" s="186"/>
      <c r="M165" s="204"/>
      <c r="O165" s="186"/>
    </row>
    <row r="167" spans="4:19" x14ac:dyDescent="0.2">
      <c r="D167" s="184" t="s">
        <v>241</v>
      </c>
      <c r="E167" s="184" t="s">
        <v>210</v>
      </c>
    </row>
    <row r="168" spans="4:19" x14ac:dyDescent="0.2">
      <c r="D168" s="49">
        <f>IF($B$5&gt;0,1,0)</f>
        <v>0</v>
      </c>
      <c r="E168" s="184">
        <f>IF($B$2+$B$3&gt;0,1,0)</f>
        <v>0</v>
      </c>
      <c r="O168" s="185"/>
      <c r="P168" s="185" t="s">
        <v>229</v>
      </c>
      <c r="Q168" s="185"/>
      <c r="S168" s="202"/>
    </row>
    <row r="169" spans="4:19" x14ac:dyDescent="0.2">
      <c r="E169" s="184"/>
      <c r="G169" s="184" t="s">
        <v>218</v>
      </c>
      <c r="H169" s="184" t="s">
        <v>217</v>
      </c>
      <c r="I169" s="184" t="s">
        <v>219</v>
      </c>
      <c r="J169" s="184" t="s">
        <v>220</v>
      </c>
      <c r="K169" s="184" t="s">
        <v>221</v>
      </c>
      <c r="L169" s="184" t="s">
        <v>222</v>
      </c>
      <c r="O169" s="185"/>
      <c r="P169" s="185" t="s">
        <v>221</v>
      </c>
      <c r="Q169" s="185" t="s">
        <v>230</v>
      </c>
      <c r="R169" s="185" t="s">
        <v>231</v>
      </c>
      <c r="S169" s="205" t="s">
        <v>232</v>
      </c>
    </row>
    <row r="170" spans="4:19" x14ac:dyDescent="0.2">
      <c r="E170" s="184" t="s">
        <v>284</v>
      </c>
      <c r="F170" s="49">
        <f>F145*2</f>
        <v>15.008993576017131</v>
      </c>
      <c r="G170" s="49">
        <f t="shared" ref="G170:G173" si="88">$C$2</f>
        <v>0</v>
      </c>
      <c r="H170" s="49" t="e">
        <f t="shared" ref="H170:H173" si="89">1000/G170</f>
        <v>#DIV/0!</v>
      </c>
      <c r="I170" s="186" t="e">
        <f t="shared" ref="I170:I173" si="90">F170/H170</f>
        <v>#DIV/0!</v>
      </c>
      <c r="J170" s="186" t="e">
        <f t="shared" ref="J170:J173" si="91">ROUNDUP(I170,-0.1)</f>
        <v>#DIV/0!</v>
      </c>
      <c r="K170" s="204" t="e">
        <f t="shared" ref="K170:K173" si="92">J170-1</f>
        <v>#DIV/0!</v>
      </c>
      <c r="L170" s="204" t="e">
        <f t="shared" ref="L170:L173" si="93">2000/J170</f>
        <v>#DIV/0!</v>
      </c>
      <c r="O170" s="185" t="s">
        <v>271</v>
      </c>
      <c r="P170" s="206">
        <f t="shared" ref="P170:P173" si="94">IF($E$68&gt;0,K170,L153)</f>
        <v>1</v>
      </c>
      <c r="Q170" s="207">
        <f t="shared" ref="Q170:Q173" si="95">IF($E$68&gt;0,G170,O153)</f>
        <v>133.25343833818408</v>
      </c>
      <c r="R170" s="207">
        <f t="shared" ref="R170:R173" si="96">1000/Q170</f>
        <v>7.5044967880085665</v>
      </c>
      <c r="S170" s="208">
        <f t="shared" ref="S170:S173" si="97">2000/(1+P170)</f>
        <v>1000</v>
      </c>
    </row>
    <row r="171" spans="4:19" x14ac:dyDescent="0.2">
      <c r="E171" s="184" t="s">
        <v>285</v>
      </c>
      <c r="F171" s="49">
        <f t="shared" ref="F171:F173" si="98">F146*2</f>
        <v>9.5511777301927197</v>
      </c>
      <c r="G171" s="49">
        <f t="shared" si="88"/>
        <v>0</v>
      </c>
      <c r="H171" s="49" t="e">
        <f t="shared" si="89"/>
        <v>#DIV/0!</v>
      </c>
      <c r="I171" s="186" t="e">
        <f t="shared" si="90"/>
        <v>#DIV/0!</v>
      </c>
      <c r="J171" s="186" t="e">
        <f t="shared" si="91"/>
        <v>#DIV/0!</v>
      </c>
      <c r="K171" s="204" t="e">
        <f t="shared" si="92"/>
        <v>#DIV/0!</v>
      </c>
      <c r="L171" s="204" t="e">
        <f t="shared" si="93"/>
        <v>#DIV/0!</v>
      </c>
      <c r="O171" s="185" t="s">
        <v>290</v>
      </c>
      <c r="P171" s="206">
        <f t="shared" si="94"/>
        <v>1</v>
      </c>
      <c r="Q171" s="207">
        <f t="shared" si="95"/>
        <v>209.39826024571786</v>
      </c>
      <c r="R171" s="207">
        <f t="shared" si="96"/>
        <v>4.7755888650963598</v>
      </c>
      <c r="S171" s="208">
        <f t="shared" si="97"/>
        <v>1000</v>
      </c>
    </row>
    <row r="172" spans="4:19" x14ac:dyDescent="0.2">
      <c r="E172" s="184" t="s">
        <v>286</v>
      </c>
      <c r="F172" s="49">
        <f t="shared" si="98"/>
        <v>6.1400428265524623</v>
      </c>
      <c r="G172" s="49">
        <f t="shared" si="88"/>
        <v>0</v>
      </c>
      <c r="H172" s="49" t="e">
        <f t="shared" si="89"/>
        <v>#DIV/0!</v>
      </c>
      <c r="I172" s="186" t="e">
        <f t="shared" si="90"/>
        <v>#DIV/0!</v>
      </c>
      <c r="J172" s="186" t="e">
        <f t="shared" si="91"/>
        <v>#DIV/0!</v>
      </c>
      <c r="K172" s="204" t="e">
        <f t="shared" si="92"/>
        <v>#DIV/0!</v>
      </c>
      <c r="L172" s="204" t="e">
        <f t="shared" si="93"/>
        <v>#DIV/0!</v>
      </c>
      <c r="O172" s="185" t="s">
        <v>273</v>
      </c>
      <c r="P172" s="206">
        <f t="shared" si="94"/>
        <v>0</v>
      </c>
      <c r="Q172" s="207">
        <f t="shared" si="95"/>
        <v>162.86531352444723</v>
      </c>
      <c r="R172" s="207">
        <f t="shared" si="96"/>
        <v>6.1400428265524623</v>
      </c>
      <c r="S172" s="208">
        <f t="shared" si="97"/>
        <v>2000</v>
      </c>
    </row>
    <row r="173" spans="4:19" x14ac:dyDescent="0.2">
      <c r="E173" s="184" t="s">
        <v>306</v>
      </c>
      <c r="F173" s="49">
        <f t="shared" si="98"/>
        <v>10.915631691648821</v>
      </c>
      <c r="G173" s="49">
        <f t="shared" si="88"/>
        <v>0</v>
      </c>
      <c r="H173" s="49" t="e">
        <f t="shared" si="89"/>
        <v>#DIV/0!</v>
      </c>
      <c r="I173" s="186" t="e">
        <f t="shared" si="90"/>
        <v>#DIV/0!</v>
      </c>
      <c r="J173" s="186" t="e">
        <f t="shared" si="91"/>
        <v>#DIV/0!</v>
      </c>
      <c r="K173" s="204" t="e">
        <f t="shared" si="92"/>
        <v>#DIV/0!</v>
      </c>
      <c r="L173" s="204" t="e">
        <f t="shared" si="93"/>
        <v>#DIV/0!</v>
      </c>
      <c r="O173" s="185" t="s">
        <v>306</v>
      </c>
      <c r="P173" s="206">
        <f t="shared" si="94"/>
        <v>1</v>
      </c>
      <c r="Q173" s="207">
        <f t="shared" si="95"/>
        <v>183.22347771500316</v>
      </c>
      <c r="R173" s="207">
        <f t="shared" si="96"/>
        <v>5.4578158458244106</v>
      </c>
      <c r="S173" s="208">
        <f t="shared" si="97"/>
        <v>1000</v>
      </c>
    </row>
    <row r="174" spans="4:19" x14ac:dyDescent="0.2">
      <c r="E174" s="184"/>
      <c r="I174" s="186"/>
      <c r="J174" s="186"/>
      <c r="K174" s="204"/>
      <c r="L174" s="204"/>
      <c r="O174" s="185"/>
      <c r="P174" s="206"/>
      <c r="Q174" s="207"/>
      <c r="R174" s="207"/>
      <c r="S174" s="208"/>
    </row>
    <row r="175" spans="4:19" x14ac:dyDescent="0.2">
      <c r="E175" s="184"/>
      <c r="I175" s="186"/>
      <c r="J175" s="186"/>
      <c r="K175" s="204"/>
      <c r="L175" s="204"/>
      <c r="O175" s="185"/>
      <c r="P175" s="206"/>
      <c r="Q175" s="207"/>
      <c r="R175" s="207"/>
      <c r="S175" s="208"/>
    </row>
    <row r="176" spans="4:19" x14ac:dyDescent="0.2">
      <c r="Q176" s="186"/>
    </row>
    <row r="177" spans="1:19" x14ac:dyDescent="0.2">
      <c r="E177" s="184" t="s">
        <v>278</v>
      </c>
      <c r="F177" s="186">
        <f t="shared" ref="F177:F180" si="99">F145</f>
        <v>7.5044967880085656</v>
      </c>
      <c r="G177" s="49">
        <f t="shared" ref="G177:G180" si="100">$C$2</f>
        <v>0</v>
      </c>
      <c r="H177" s="49" t="e">
        <f t="shared" ref="H177:H180" si="101">1000/G177</f>
        <v>#DIV/0!</v>
      </c>
      <c r="I177" s="186" t="e">
        <f t="shared" ref="I177:I180" si="102">F177/H177</f>
        <v>#DIV/0!</v>
      </c>
      <c r="J177" s="186" t="e">
        <f t="shared" ref="J177:J180" si="103">ROUNDUP(I177,-0.1)</f>
        <v>#DIV/0!</v>
      </c>
      <c r="K177" s="204" t="e">
        <f t="shared" ref="K177:K180" si="104">J177-1</f>
        <v>#DIV/0!</v>
      </c>
      <c r="L177" s="204" t="e">
        <f t="shared" ref="L177:L180" si="105">1000/J177</f>
        <v>#DIV/0!</v>
      </c>
      <c r="O177" s="185" t="s">
        <v>278</v>
      </c>
      <c r="P177" s="206">
        <f t="shared" ref="P177:P180" si="106">IF($E$68&gt;0,K177,L160)</f>
        <v>0</v>
      </c>
      <c r="Q177" s="207">
        <f t="shared" ref="Q177:Q180" si="107">IF($E$68&gt;0,G177,O160)</f>
        <v>133.25343833818408</v>
      </c>
      <c r="R177" s="207">
        <f t="shared" ref="R177:R180" si="108">1000/Q177</f>
        <v>7.5044967880085665</v>
      </c>
      <c r="S177" s="208">
        <f t="shared" ref="S177:S180" si="109">1000/(1+P177)</f>
        <v>1000</v>
      </c>
    </row>
    <row r="178" spans="1:19" x14ac:dyDescent="0.2">
      <c r="E178" s="184" t="s">
        <v>279</v>
      </c>
      <c r="F178" s="186">
        <f t="shared" si="99"/>
        <v>4.7755888650963598</v>
      </c>
      <c r="G178" s="49">
        <f t="shared" si="100"/>
        <v>0</v>
      </c>
      <c r="H178" s="49" t="e">
        <f t="shared" si="101"/>
        <v>#DIV/0!</v>
      </c>
      <c r="I178" s="186" t="e">
        <f t="shared" si="102"/>
        <v>#DIV/0!</v>
      </c>
      <c r="J178" s="186" t="e">
        <f t="shared" si="103"/>
        <v>#DIV/0!</v>
      </c>
      <c r="K178" s="204" t="e">
        <f t="shared" si="104"/>
        <v>#DIV/0!</v>
      </c>
      <c r="L178" s="204" t="e">
        <f t="shared" si="105"/>
        <v>#DIV/0!</v>
      </c>
      <c r="O178" s="185" t="s">
        <v>291</v>
      </c>
      <c r="P178" s="206">
        <f t="shared" si="106"/>
        <v>0</v>
      </c>
      <c r="Q178" s="207">
        <f t="shared" si="107"/>
        <v>209.39826024571786</v>
      </c>
      <c r="R178" s="207">
        <f t="shared" si="108"/>
        <v>4.7755888650963598</v>
      </c>
      <c r="S178" s="208">
        <f t="shared" si="109"/>
        <v>1000</v>
      </c>
    </row>
    <row r="179" spans="1:19" x14ac:dyDescent="0.2">
      <c r="E179" s="184" t="s">
        <v>280</v>
      </c>
      <c r="F179" s="186">
        <f t="shared" si="99"/>
        <v>3.0700214132762311</v>
      </c>
      <c r="G179" s="49">
        <f t="shared" si="100"/>
        <v>0</v>
      </c>
      <c r="H179" s="49" t="e">
        <f t="shared" si="101"/>
        <v>#DIV/0!</v>
      </c>
      <c r="I179" s="186" t="e">
        <f t="shared" si="102"/>
        <v>#DIV/0!</v>
      </c>
      <c r="J179" s="186" t="e">
        <f t="shared" si="103"/>
        <v>#DIV/0!</v>
      </c>
      <c r="K179" s="204" t="e">
        <f t="shared" si="104"/>
        <v>#DIV/0!</v>
      </c>
      <c r="L179" s="204" t="e">
        <f t="shared" si="105"/>
        <v>#DIV/0!</v>
      </c>
      <c r="O179" s="185" t="s">
        <v>280</v>
      </c>
      <c r="P179" s="206">
        <f t="shared" si="106"/>
        <v>0</v>
      </c>
      <c r="Q179" s="207">
        <f t="shared" si="107"/>
        <v>325.73062704889446</v>
      </c>
      <c r="R179" s="207">
        <f t="shared" si="108"/>
        <v>3.0700214132762311</v>
      </c>
      <c r="S179" s="208">
        <f t="shared" si="109"/>
        <v>1000</v>
      </c>
    </row>
    <row r="180" spans="1:19" x14ac:dyDescent="0.2">
      <c r="E180" s="184" t="s">
        <v>303</v>
      </c>
      <c r="F180" s="186">
        <f t="shared" si="99"/>
        <v>5.4578158458244106</v>
      </c>
      <c r="G180" s="49">
        <f t="shared" si="100"/>
        <v>0</v>
      </c>
      <c r="H180" s="49" t="e">
        <f t="shared" si="101"/>
        <v>#DIV/0!</v>
      </c>
      <c r="I180" s="186" t="e">
        <f t="shared" si="102"/>
        <v>#DIV/0!</v>
      </c>
      <c r="J180" s="186" t="e">
        <f t="shared" si="103"/>
        <v>#DIV/0!</v>
      </c>
      <c r="K180" s="204" t="e">
        <f t="shared" si="104"/>
        <v>#DIV/0!</v>
      </c>
      <c r="L180" s="204" t="e">
        <f t="shared" si="105"/>
        <v>#DIV/0!</v>
      </c>
      <c r="O180" s="185" t="s">
        <v>310</v>
      </c>
      <c r="P180" s="206">
        <f t="shared" si="106"/>
        <v>0</v>
      </c>
      <c r="Q180" s="207">
        <f t="shared" si="107"/>
        <v>183.22347771500316</v>
      </c>
      <c r="R180" s="207">
        <f t="shared" si="108"/>
        <v>5.4578158458244106</v>
      </c>
      <c r="S180" s="208">
        <f t="shared" si="109"/>
        <v>1000</v>
      </c>
    </row>
    <row r="181" spans="1:19" x14ac:dyDescent="0.2">
      <c r="E181" s="184"/>
      <c r="F181" s="186"/>
      <c r="I181" s="186"/>
      <c r="J181" s="186"/>
      <c r="K181" s="204"/>
      <c r="L181" s="204"/>
      <c r="O181" s="185"/>
      <c r="P181" s="206"/>
      <c r="Q181" s="207"/>
      <c r="R181" s="207"/>
      <c r="S181" s="208"/>
    </row>
    <row r="182" spans="1:19" x14ac:dyDescent="0.2">
      <c r="E182" s="184"/>
      <c r="F182" s="186"/>
      <c r="I182" s="186"/>
      <c r="J182" s="186"/>
      <c r="K182" s="204"/>
      <c r="L182" s="204"/>
      <c r="O182" s="185"/>
      <c r="P182" s="206"/>
      <c r="Q182" s="207"/>
      <c r="R182" s="207"/>
      <c r="S182" s="208"/>
    </row>
    <row r="185" spans="1:19" x14ac:dyDescent="0.2">
      <c r="A185" s="203"/>
      <c r="E185" s="49">
        <f>IF($E$16+$D$16&gt;0,$C$5,3)</f>
        <v>3</v>
      </c>
    </row>
    <row r="186" spans="1:19" x14ac:dyDescent="0.2">
      <c r="A186" s="203"/>
    </row>
    <row r="187" spans="1:19" x14ac:dyDescent="0.2">
      <c r="A187" s="203"/>
      <c r="E187" s="184" t="s">
        <v>264</v>
      </c>
      <c r="F187" s="49">
        <f>IF($C$2+$C$5&gt;0,VLOOKUP($E$27,bond_val_kN[#All],2,FALSE)*-1,-3)</f>
        <v>-3</v>
      </c>
    </row>
    <row r="188" spans="1:19" x14ac:dyDescent="0.2">
      <c r="A188" s="203"/>
      <c r="E188" s="184" t="s">
        <v>298</v>
      </c>
      <c r="F188" s="49">
        <f>IF($C$2+$C$5&gt;0,VLOOKUP($E$27,bond_val_kN[],2,FALSE)*-1,-3)</f>
        <v>-3</v>
      </c>
    </row>
    <row r="189" spans="1:19" x14ac:dyDescent="0.2">
      <c r="A189" s="203"/>
      <c r="E189" s="184" t="s">
        <v>266</v>
      </c>
      <c r="F189" s="49">
        <f>IF($C$2+$C$5&gt;0,VLOOKUP($E$27,bond_val_kN[],2,FALSE)*-1,-3)</f>
        <v>-3</v>
      </c>
    </row>
    <row r="190" spans="1:19" x14ac:dyDescent="0.2">
      <c r="A190" s="203"/>
      <c r="E190" s="184" t="s">
        <v>307</v>
      </c>
      <c r="F190" s="49">
        <f>IF($C$2+$C$5&gt;0,VLOOKUP($E$27,bond_val_kN[],2,FALSE)*-1,-3)</f>
        <v>-3</v>
      </c>
    </row>
    <row r="191" spans="1:19" x14ac:dyDescent="0.2">
      <c r="A191" s="203"/>
      <c r="E191" s="184" t="s">
        <v>300</v>
      </c>
      <c r="F191" s="49">
        <f>IF($C$2+$C$5&gt;0,VLOOKUP($E$27,bond_val_kN[],2,FALSE)*-1,-3)</f>
        <v>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49"/>
  <sheetViews>
    <sheetView showOutlineSymbols="0" workbookViewId="0">
      <selection activeCell="A36" sqref="A36:G37"/>
    </sheetView>
  </sheetViews>
  <sheetFormatPr defaultRowHeight="12.75" x14ac:dyDescent="0.2"/>
  <cols>
    <col min="1" max="1" width="9.140625" style="1"/>
    <col min="2" max="2" width="10.5703125" style="1" customWidth="1"/>
    <col min="3" max="3" width="9.140625" style="1"/>
    <col min="4" max="4" width="16.42578125" style="1" customWidth="1"/>
    <col min="5" max="5" width="29.5703125" style="1" customWidth="1"/>
    <col min="6" max="6" width="9.85546875" style="1" customWidth="1"/>
    <col min="7" max="7" width="11.28515625" style="1" customWidth="1"/>
    <col min="8" max="8" width="16.140625" style="1" customWidth="1"/>
    <col min="9" max="9" width="38.7109375" style="1" customWidth="1"/>
    <col min="10" max="16384" width="9.140625" style="1"/>
  </cols>
  <sheetData>
    <row r="1" spans="1:15" ht="15.75" x14ac:dyDescent="0.25">
      <c r="A1" s="8" t="s">
        <v>75</v>
      </c>
      <c r="F1" s="2" t="s">
        <v>132</v>
      </c>
      <c r="G1" s="2"/>
      <c r="H1" s="3" t="s">
        <v>16</v>
      </c>
      <c r="I1" s="4" t="s">
        <v>17</v>
      </c>
      <c r="J1" s="4"/>
    </row>
    <row r="2" spans="1:15" ht="14.25" x14ac:dyDescent="0.2">
      <c r="F2" s="2" t="s">
        <v>133</v>
      </c>
      <c r="G2" s="2"/>
      <c r="H2" s="3" t="s">
        <v>18</v>
      </c>
      <c r="I2" s="2" t="s">
        <v>122</v>
      </c>
      <c r="J2" s="2"/>
    </row>
    <row r="3" spans="1:15" ht="14.25" x14ac:dyDescent="0.2">
      <c r="F3" s="2"/>
      <c r="G3" s="2"/>
      <c r="H3" s="2" t="s">
        <v>57</v>
      </c>
      <c r="I3" s="29" t="s">
        <v>15</v>
      </c>
      <c r="J3" s="2"/>
    </row>
    <row r="5" spans="1:15" ht="15.75" thickBot="1" x14ac:dyDescent="0.3">
      <c r="A5" s="5" t="s">
        <v>59</v>
      </c>
      <c r="C5" s="30" t="str">
        <f>IF(F10="","",IF(C6=F10,"",calculation!I1))</f>
        <v>You must run BREVe3 again to update results</v>
      </c>
      <c r="E5" s="5" t="s">
        <v>55</v>
      </c>
      <c r="H5" s="15" t="s">
        <v>130</v>
      </c>
      <c r="I5" s="50" t="s">
        <v>134</v>
      </c>
    </row>
    <row r="6" spans="1:15" ht="13.5" thickBot="1" x14ac:dyDescent="0.25">
      <c r="A6" s="5" t="s">
        <v>0</v>
      </c>
      <c r="B6" s="5"/>
      <c r="C6" s="27">
        <f>'New Input'!C10</f>
        <v>0</v>
      </c>
      <c r="D6" s="5" t="s">
        <v>1</v>
      </c>
      <c r="E6" s="21" t="s">
        <v>131</v>
      </c>
      <c r="F6" s="27"/>
      <c r="G6" s="9"/>
      <c r="I6" s="49" t="s">
        <v>203</v>
      </c>
    </row>
    <row r="7" spans="1:15" ht="13.5" thickBot="1" x14ac:dyDescent="0.25">
      <c r="A7" s="5" t="s">
        <v>60</v>
      </c>
      <c r="B7" s="5"/>
      <c r="C7" s="27">
        <f>'New Input'!C11</f>
        <v>0</v>
      </c>
      <c r="D7" s="5" t="s">
        <v>1</v>
      </c>
      <c r="E7" s="21" t="s">
        <v>56</v>
      </c>
      <c r="F7" s="26">
        <v>163</v>
      </c>
      <c r="G7" s="21" t="s">
        <v>1</v>
      </c>
      <c r="J7" s="9"/>
      <c r="K7" s="5"/>
    </row>
    <row r="8" spans="1:15" ht="13.5" thickBot="1" x14ac:dyDescent="0.25">
      <c r="A8" s="5" t="s">
        <v>61</v>
      </c>
      <c r="B8" s="5"/>
      <c r="C8" s="27">
        <f>'New Input'!C12</f>
        <v>0</v>
      </c>
      <c r="D8" s="5" t="s">
        <v>1</v>
      </c>
      <c r="E8" s="21" t="s">
        <v>111</v>
      </c>
      <c r="F8" s="26">
        <v>182.457815960293</v>
      </c>
      <c r="G8" s="5" t="s">
        <v>105</v>
      </c>
      <c r="J8" s="9"/>
      <c r="M8" s="5"/>
      <c r="O8" s="5"/>
    </row>
    <row r="9" spans="1:15" x14ac:dyDescent="0.2">
      <c r="A9" s="5"/>
      <c r="B9" s="5"/>
      <c r="E9" s="21" t="s">
        <v>112</v>
      </c>
      <c r="F9" s="26">
        <v>0</v>
      </c>
      <c r="G9" s="21" t="s">
        <v>105</v>
      </c>
    </row>
    <row r="10" spans="1:15" x14ac:dyDescent="0.2">
      <c r="A10" s="5" t="s">
        <v>23</v>
      </c>
      <c r="B10" s="5"/>
      <c r="C10" s="5" t="s">
        <v>22</v>
      </c>
      <c r="E10" s="21" t="s">
        <v>37</v>
      </c>
      <c r="F10" s="26">
        <v>20</v>
      </c>
      <c r="G10" s="21" t="s">
        <v>1</v>
      </c>
      <c r="H10" s="5"/>
      <c r="I10" s="5"/>
      <c r="J10" s="5"/>
      <c r="L10" s="5"/>
      <c r="N10" s="9"/>
    </row>
    <row r="11" spans="1:15" x14ac:dyDescent="0.2">
      <c r="E11" s="21" t="s">
        <v>114</v>
      </c>
      <c r="F11" s="26">
        <v>20</v>
      </c>
      <c r="G11" s="21" t="s">
        <v>1</v>
      </c>
      <c r="K11" s="21"/>
      <c r="L11" s="15"/>
    </row>
    <row r="12" spans="1:15" ht="13.5" thickBot="1" x14ac:dyDescent="0.25">
      <c r="J12" s="24"/>
      <c r="K12" s="5"/>
      <c r="N12" s="5"/>
    </row>
    <row r="13" spans="1:15" ht="15" thickBot="1" x14ac:dyDescent="0.3">
      <c r="A13" s="5" t="s">
        <v>82</v>
      </c>
      <c r="E13" s="5" t="s">
        <v>71</v>
      </c>
      <c r="F13" s="37">
        <v>21.982137614639999</v>
      </c>
      <c r="G13" s="5" t="s">
        <v>2</v>
      </c>
    </row>
    <row r="14" spans="1:15" ht="15" thickBot="1" x14ac:dyDescent="0.3">
      <c r="E14" s="5" t="s">
        <v>70</v>
      </c>
      <c r="F14" s="28">
        <v>1.1469992949511201</v>
      </c>
      <c r="G14" s="9"/>
      <c r="H14" s="21"/>
      <c r="I14" s="5"/>
    </row>
    <row r="15" spans="1:15" ht="15" thickBot="1" x14ac:dyDescent="0.3">
      <c r="E15" s="5" t="s">
        <v>72</v>
      </c>
      <c r="F15" s="27">
        <v>1</v>
      </c>
    </row>
    <row r="16" spans="1:15" ht="15" thickBot="1" x14ac:dyDescent="0.3">
      <c r="E16" s="5" t="s">
        <v>73</v>
      </c>
      <c r="F16" s="27">
        <v>1</v>
      </c>
      <c r="M16" s="25"/>
    </row>
    <row r="17" spans="1:8" ht="15" thickBot="1" x14ac:dyDescent="0.3">
      <c r="A17" s="31" t="s">
        <v>83</v>
      </c>
      <c r="B17" s="32"/>
      <c r="C17" s="25"/>
      <c r="D17" s="31"/>
      <c r="E17" s="5" t="s">
        <v>74</v>
      </c>
      <c r="F17" s="28">
        <v>1.0005662526750301</v>
      </c>
    </row>
    <row r="18" spans="1:8" ht="15" thickBot="1" x14ac:dyDescent="0.3">
      <c r="E18" s="5" t="s">
        <v>76</v>
      </c>
      <c r="F18" s="28">
        <v>1.0695273515116701</v>
      </c>
    </row>
    <row r="19" spans="1:8" ht="15" thickBot="1" x14ac:dyDescent="0.3">
      <c r="C19" s="5" t="s">
        <v>120</v>
      </c>
      <c r="E19" s="5" t="s">
        <v>115</v>
      </c>
      <c r="F19" s="28">
        <v>2.7791999999999999</v>
      </c>
    </row>
    <row r="20" spans="1:8" ht="15" thickBot="1" x14ac:dyDescent="0.3">
      <c r="E20" s="5" t="s">
        <v>78</v>
      </c>
      <c r="F20" s="28">
        <v>1</v>
      </c>
    </row>
    <row r="21" spans="1:8" ht="15.75" thickBot="1" x14ac:dyDescent="0.3">
      <c r="E21" s="5" t="s">
        <v>77</v>
      </c>
      <c r="F21" s="28">
        <v>1.1805523100020701</v>
      </c>
      <c r="G21" s="5" t="s">
        <v>102</v>
      </c>
    </row>
    <row r="22" spans="1:8" ht="14.25" x14ac:dyDescent="0.2">
      <c r="C22" s="44" t="str">
        <f>(IF(calculation!H13=2,"No Internal Pressure Coeficient",""))</f>
        <v/>
      </c>
      <c r="F22" s="4"/>
    </row>
    <row r="23" spans="1:8" ht="15.75" thickBot="1" x14ac:dyDescent="0.3">
      <c r="A23" s="23" t="s">
        <v>41</v>
      </c>
      <c r="H23" s="20"/>
    </row>
    <row r="24" spans="1:8" ht="13.5" thickBot="1" x14ac:dyDescent="0.25">
      <c r="A24" s="246" t="s">
        <v>169</v>
      </c>
      <c r="B24" s="247"/>
      <c r="C24" s="247"/>
      <c r="D24" s="247"/>
      <c r="E24" s="247"/>
      <c r="F24" s="247"/>
      <c r="G24" s="248"/>
      <c r="H24" s="20"/>
    </row>
    <row r="26" spans="1:8" ht="13.5" thickBot="1" x14ac:dyDescent="0.25">
      <c r="A26" s="5" t="s">
        <v>67</v>
      </c>
    </row>
    <row r="27" spans="1:8" ht="13.5" thickBot="1" x14ac:dyDescent="0.25">
      <c r="A27" s="246"/>
      <c r="B27" s="247"/>
      <c r="C27" s="247"/>
      <c r="D27" s="247"/>
      <c r="E27" s="247"/>
      <c r="F27" s="247"/>
      <c r="G27" s="248"/>
      <c r="H27" s="39"/>
    </row>
    <row r="29" spans="1:8" x14ac:dyDescent="0.2">
      <c r="A29" s="5" t="s">
        <v>68</v>
      </c>
      <c r="D29" s="40"/>
      <c r="E29" s="40"/>
      <c r="F29" s="40"/>
      <c r="G29" s="40"/>
      <c r="H29" s="40"/>
    </row>
    <row r="30" spans="1:8" x14ac:dyDescent="0.2">
      <c r="A30" s="242"/>
      <c r="B30" s="249"/>
      <c r="C30" s="249"/>
      <c r="D30" s="249"/>
      <c r="E30" s="249"/>
      <c r="F30" s="249"/>
      <c r="G30" s="250"/>
      <c r="H30" s="40"/>
    </row>
    <row r="31" spans="1:8" x14ac:dyDescent="0.2">
      <c r="A31" s="251"/>
      <c r="B31" s="249"/>
      <c r="C31" s="249"/>
      <c r="D31" s="249"/>
      <c r="E31" s="249"/>
      <c r="F31" s="249"/>
      <c r="G31" s="250"/>
      <c r="H31" s="40"/>
    </row>
    <row r="32" spans="1:8" x14ac:dyDescent="0.2">
      <c r="A32" s="242"/>
      <c r="B32" s="243"/>
      <c r="C32" s="243"/>
      <c r="D32" s="243"/>
      <c r="E32" s="243"/>
      <c r="F32" s="243"/>
      <c r="G32" s="244"/>
      <c r="H32" s="40"/>
    </row>
    <row r="33" spans="1:8" x14ac:dyDescent="0.2">
      <c r="A33" s="242"/>
      <c r="B33" s="243"/>
      <c r="C33" s="243"/>
      <c r="D33" s="243"/>
      <c r="E33" s="243"/>
      <c r="F33" s="243"/>
      <c r="G33" s="244"/>
      <c r="H33" s="40"/>
    </row>
    <row r="34" spans="1:8" x14ac:dyDescent="0.2">
      <c r="A34" s="242"/>
      <c r="B34" s="243"/>
      <c r="C34" s="243"/>
      <c r="D34" s="243"/>
      <c r="E34" s="243"/>
      <c r="F34" s="243"/>
      <c r="G34" s="244"/>
      <c r="H34" s="40"/>
    </row>
    <row r="35" spans="1:8" x14ac:dyDescent="0.2">
      <c r="A35" s="242"/>
      <c r="B35" s="243"/>
      <c r="C35" s="243"/>
      <c r="D35" s="243"/>
      <c r="E35" s="243"/>
      <c r="F35" s="243"/>
      <c r="G35" s="244"/>
      <c r="H35" s="40"/>
    </row>
    <row r="36" spans="1:8" x14ac:dyDescent="0.2">
      <c r="A36" s="242"/>
      <c r="B36" s="243"/>
      <c r="C36" s="243"/>
      <c r="D36" s="243"/>
      <c r="E36" s="243"/>
      <c r="F36" s="243"/>
      <c r="G36" s="244"/>
      <c r="H36" s="40"/>
    </row>
    <row r="37" spans="1:8" x14ac:dyDescent="0.2">
      <c r="A37" s="242"/>
      <c r="B37" s="243"/>
      <c r="C37" s="243"/>
      <c r="D37" s="243"/>
      <c r="E37" s="243"/>
      <c r="F37" s="243"/>
      <c r="G37" s="244"/>
      <c r="H37" s="40"/>
    </row>
    <row r="38" spans="1:8" x14ac:dyDescent="0.2">
      <c r="A38" s="242"/>
      <c r="B38" s="243"/>
      <c r="C38" s="243"/>
      <c r="D38" s="243"/>
      <c r="E38" s="243"/>
      <c r="F38" s="243"/>
      <c r="G38" s="245"/>
      <c r="H38" s="40"/>
    </row>
    <row r="39" spans="1:8" x14ac:dyDescent="0.2">
      <c r="A39" s="242"/>
      <c r="B39" s="243"/>
      <c r="C39" s="243"/>
      <c r="D39" s="243"/>
      <c r="E39" s="243"/>
      <c r="F39" s="243"/>
      <c r="G39" s="245"/>
    </row>
    <row r="40" spans="1:8" x14ac:dyDescent="0.2">
      <c r="A40" s="40"/>
      <c r="B40" s="43"/>
      <c r="C40" s="43"/>
      <c r="D40" s="43"/>
      <c r="E40" s="43"/>
      <c r="F40" s="43"/>
    </row>
    <row r="41" spans="1:8" x14ac:dyDescent="0.2">
      <c r="A41" s="43"/>
      <c r="B41" s="43"/>
      <c r="C41" s="43"/>
      <c r="D41" s="43"/>
      <c r="E41" s="43"/>
      <c r="F41" s="43"/>
    </row>
    <row r="42" spans="1:8" x14ac:dyDescent="0.2">
      <c r="A42" s="40"/>
      <c r="B42" s="40"/>
      <c r="C42" s="40"/>
      <c r="D42" s="40"/>
      <c r="E42" s="40"/>
      <c r="F42" s="40"/>
    </row>
    <row r="43" spans="1:8" x14ac:dyDescent="0.2">
      <c r="A43" s="40"/>
      <c r="B43" s="40"/>
      <c r="C43" s="40"/>
      <c r="D43" s="40"/>
      <c r="E43" s="40"/>
      <c r="F43" s="40"/>
    </row>
    <row r="44" spans="1:8" x14ac:dyDescent="0.2">
      <c r="A44" s="40"/>
      <c r="B44" s="40"/>
      <c r="C44" s="40"/>
      <c r="D44" s="40"/>
      <c r="E44" s="40"/>
      <c r="F44" s="40"/>
    </row>
    <row r="45" spans="1:8" x14ac:dyDescent="0.2">
      <c r="A45" s="40"/>
      <c r="B45" s="40"/>
      <c r="C45" s="40"/>
      <c r="D45" s="40"/>
      <c r="E45" s="40"/>
      <c r="F45" s="40"/>
    </row>
    <row r="46" spans="1:8" x14ac:dyDescent="0.2">
      <c r="A46" s="40"/>
      <c r="B46" s="40"/>
      <c r="C46" s="40"/>
      <c r="D46" s="40"/>
      <c r="E46" s="40"/>
      <c r="F46" s="40"/>
    </row>
    <row r="47" spans="1:8" x14ac:dyDescent="0.2">
      <c r="A47" s="40"/>
      <c r="B47" s="40"/>
      <c r="C47" s="40"/>
      <c r="D47" s="40"/>
      <c r="E47" s="40"/>
      <c r="F47" s="40"/>
    </row>
    <row r="48" spans="1:8" x14ac:dyDescent="0.2">
      <c r="A48" s="40"/>
      <c r="B48" s="40"/>
      <c r="C48" s="40"/>
      <c r="D48" s="40"/>
      <c r="E48" s="40"/>
      <c r="F48" s="40"/>
    </row>
    <row r="49" spans="1:6" x14ac:dyDescent="0.2">
      <c r="A49" s="40"/>
      <c r="B49" s="40"/>
      <c r="C49" s="40"/>
      <c r="D49" s="40"/>
      <c r="E49" s="40"/>
      <c r="F49" s="40"/>
    </row>
  </sheetData>
  <sheetProtection algorithmName="SHA-512" hashValue="NwT0e6hRepYXeiqx5XrLDtdhRRUUb9F6/efPqMybNzHtfZHV43rOylTQ6Kw2CkTF1uTNAKPIJGOS+lM8bW9gdw==" saltValue="A9YQ/8ln9xUaIkYihsp7kg==" spinCount="100000" sheet="1" selectLockedCells="1"/>
  <mergeCells count="7">
    <mergeCell ref="A34:G35"/>
    <mergeCell ref="A36:G37"/>
    <mergeCell ref="A38:G39"/>
    <mergeCell ref="A24:G24"/>
    <mergeCell ref="A27:G27"/>
    <mergeCell ref="A30:G31"/>
    <mergeCell ref="A32:G33"/>
  </mergeCells>
  <phoneticPr fontId="0" type="noConversion"/>
  <hyperlinks>
    <hyperlink ref="I3" r:id="rId1" xr:uid="{00000000-0004-0000-0100-000000000000}"/>
    <hyperlink ref="I1" r:id="rId2" xr:uid="{00000000-0004-0000-0100-000001000000}"/>
  </hyperlinks>
  <pageMargins left="0.74803149606299213" right="0.74803149606299213" top="0.78740157480314965" bottom="0.78740157480314965" header="0.51181102362204722" footer="0.51181102362204722"/>
  <pageSetup paperSize="9" orientation="portrait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1043" r:id="rId6" name="CommandButton1">
          <controlPr defaultSize="0" autoLine="0" r:id="rId7">
            <anchor moveWithCells="1">
              <from>
                <xdr:col>3</xdr:col>
                <xdr:colOff>123825</xdr:colOff>
                <xdr:row>1</xdr:row>
                <xdr:rowOff>66675</xdr:rowOff>
              </from>
              <to>
                <xdr:col>3</xdr:col>
                <xdr:colOff>1057275</xdr:colOff>
                <xdr:row>3</xdr:row>
                <xdr:rowOff>142875</xdr:rowOff>
              </to>
            </anchor>
          </controlPr>
        </control>
      </mc:Choice>
      <mc:Fallback>
        <control shapeId="1043" r:id="rId6" name="CommandButton1"/>
      </mc:Fallback>
    </mc:AlternateContent>
    <mc:AlternateContent xmlns:mc="http://schemas.openxmlformats.org/markup-compatibility/2006">
      <mc:Choice Requires="x14">
        <control shapeId="1035" r:id="rId8" name="Drop Down 11">
          <controlPr defaultSize="0" autoLine="0" autoPict="0">
            <anchor moveWithCells="1">
              <from>
                <xdr:col>2</xdr:col>
                <xdr:colOff>28575</xdr:colOff>
                <xdr:row>10</xdr:row>
                <xdr:rowOff>57150</xdr:rowOff>
              </from>
              <to>
                <xdr:col>3</xdr:col>
                <xdr:colOff>200025</xdr:colOff>
                <xdr:row>11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9" name="Option Button 12">
          <controlPr defaultSize="0" autoFill="0" autoLine="0" autoPict="0">
            <anchor moveWithCells="1">
              <from>
                <xdr:col>0</xdr:col>
                <xdr:colOff>47625</xdr:colOff>
                <xdr:row>10</xdr:row>
                <xdr:rowOff>47625</xdr:rowOff>
              </from>
              <to>
                <xdr:col>0</xdr:col>
                <xdr:colOff>581025</xdr:colOff>
                <xdr:row>11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0" name="Option Button 14">
          <controlPr defaultSize="0" autoFill="0" autoLine="0" autoPict="0">
            <anchor moveWithCells="1">
              <from>
                <xdr:col>1</xdr:col>
                <xdr:colOff>47625</xdr:colOff>
                <xdr:row>10</xdr:row>
                <xdr:rowOff>47625</xdr:rowOff>
              </from>
              <to>
                <xdr:col>1</xdr:col>
                <xdr:colOff>581025</xdr:colOff>
                <xdr:row>11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11" name="List Box 33">
          <controlPr defaultSize="0" autoLine="0" autoPict="0">
            <anchor moveWithCells="1">
              <from>
                <xdr:col>0</xdr:col>
                <xdr:colOff>133350</xdr:colOff>
                <xdr:row>13</xdr:row>
                <xdr:rowOff>85725</xdr:rowOff>
              </from>
              <to>
                <xdr:col>1</xdr:col>
                <xdr:colOff>409575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12" name="List Box 34">
          <controlPr defaultSize="0" autoLine="0" autoPict="0">
            <anchor moveWithCells="1">
              <from>
                <xdr:col>0</xdr:col>
                <xdr:colOff>133350</xdr:colOff>
                <xdr:row>17</xdr:row>
                <xdr:rowOff>85725</xdr:rowOff>
              </from>
              <to>
                <xdr:col>1</xdr:col>
                <xdr:colOff>409575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13" name="List Box 38">
          <controlPr defaultSize="0" autoLine="0" autoPict="0">
            <anchor moveWithCells="1">
              <from>
                <xdr:col>2</xdr:col>
                <xdr:colOff>66675</xdr:colOff>
                <xdr:row>19</xdr:row>
                <xdr:rowOff>0</xdr:rowOff>
              </from>
              <to>
                <xdr:col>3</xdr:col>
                <xdr:colOff>542925</xdr:colOff>
                <xdr:row>20</xdr:row>
                <xdr:rowOff>95250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autoPageBreaks="0"/>
  </sheetPr>
  <dimension ref="A1:AT115"/>
  <sheetViews>
    <sheetView workbookViewId="0">
      <selection activeCell="F2" sqref="F2"/>
    </sheetView>
  </sheetViews>
  <sheetFormatPr defaultRowHeight="12.75" x14ac:dyDescent="0.2"/>
  <cols>
    <col min="1" max="1" width="25" style="22" customWidth="1"/>
    <col min="2" max="2" width="14.5703125" style="22" customWidth="1"/>
    <col min="3" max="3" width="12.7109375" style="22" customWidth="1"/>
    <col min="4" max="26" width="9.140625" style="22"/>
    <col min="27" max="27" width="16.42578125" style="22" customWidth="1"/>
    <col min="28" max="31" width="9.140625" style="22"/>
    <col min="32" max="32" width="11" style="22" bestFit="1" customWidth="1"/>
    <col min="33" max="16384" width="9.140625" style="22"/>
  </cols>
  <sheetData>
    <row r="1" spans="1:15" ht="14.25" x14ac:dyDescent="0.25">
      <c r="A1" s="164" t="s">
        <v>71</v>
      </c>
      <c r="B1" s="22">
        <f>Input!F13</f>
        <v>21.982137614639999</v>
      </c>
      <c r="C1" s="22" t="s">
        <v>2</v>
      </c>
      <c r="F1" s="22" t="s">
        <v>11</v>
      </c>
      <c r="G1" s="22">
        <v>1</v>
      </c>
      <c r="I1" s="22" t="s">
        <v>69</v>
      </c>
    </row>
    <row r="2" spans="1:15" ht="14.25" x14ac:dyDescent="0.25">
      <c r="A2" s="164" t="s">
        <v>70</v>
      </c>
      <c r="B2" s="22">
        <f>Input!F14</f>
        <v>1.1469992949511201</v>
      </c>
      <c r="C2" s="22" t="s">
        <v>1</v>
      </c>
      <c r="F2" s="22">
        <v>5</v>
      </c>
    </row>
    <row r="3" spans="1:15" ht="14.25" x14ac:dyDescent="0.25">
      <c r="A3" s="164" t="s">
        <v>72</v>
      </c>
      <c r="B3" s="22">
        <f>Input!F15</f>
        <v>1</v>
      </c>
      <c r="F3" s="22">
        <v>10</v>
      </c>
      <c r="I3" s="22" t="str">
        <f>"Site Altitude  " &amp;Input!F7 &amp;"m"</f>
        <v>Site Altitude  163m</v>
      </c>
      <c r="N3" s="22" t="s">
        <v>84</v>
      </c>
    </row>
    <row r="4" spans="1:15" ht="14.25" x14ac:dyDescent="0.25">
      <c r="A4" s="164" t="s">
        <v>73</v>
      </c>
      <c r="B4" s="22">
        <f>Input!F16</f>
        <v>1</v>
      </c>
      <c r="F4" s="22">
        <v>15</v>
      </c>
      <c r="N4" s="22" t="s">
        <v>64</v>
      </c>
      <c r="O4" s="22">
        <v>2</v>
      </c>
    </row>
    <row r="5" spans="1:15" ht="14.25" x14ac:dyDescent="0.25">
      <c r="A5" s="164" t="s">
        <v>74</v>
      </c>
      <c r="B5" s="22">
        <f>Input!F17</f>
        <v>1.0005662526750301</v>
      </c>
      <c r="F5" s="22">
        <v>20</v>
      </c>
      <c r="N5" s="22" t="s">
        <v>65</v>
      </c>
    </row>
    <row r="6" spans="1:15" x14ac:dyDescent="0.2">
      <c r="A6" s="165" t="s">
        <v>86</v>
      </c>
      <c r="B6" s="22">
        <f>B1*B2*B3*B4*B5</f>
        <v>25.227773555263081</v>
      </c>
      <c r="F6" s="22">
        <v>25</v>
      </c>
    </row>
    <row r="7" spans="1:15" x14ac:dyDescent="0.2">
      <c r="A7" s="165" t="s">
        <v>93</v>
      </c>
      <c r="B7" s="22">
        <f>0.613*B6^2/1000</f>
        <v>0.39013806239460197</v>
      </c>
      <c r="F7" s="22">
        <v>30</v>
      </c>
      <c r="I7" s="22" t="s">
        <v>63</v>
      </c>
    </row>
    <row r="8" spans="1:15" ht="14.25" x14ac:dyDescent="0.25">
      <c r="A8" s="164" t="s">
        <v>76</v>
      </c>
      <c r="B8" s="22">
        <f>Input!F18</f>
        <v>1.0695273515116701</v>
      </c>
      <c r="F8" s="22">
        <v>45</v>
      </c>
      <c r="I8" s="22" t="s">
        <v>64</v>
      </c>
      <c r="J8" s="22">
        <v>2</v>
      </c>
    </row>
    <row r="9" spans="1:15" ht="14.25" x14ac:dyDescent="0.25">
      <c r="A9" s="164" t="s">
        <v>79</v>
      </c>
      <c r="B9" s="22">
        <f>Input!F19</f>
        <v>2.7791999999999999</v>
      </c>
      <c r="F9" s="22">
        <v>60</v>
      </c>
      <c r="I9" s="22" t="s">
        <v>65</v>
      </c>
    </row>
    <row r="10" spans="1:15" ht="14.25" x14ac:dyDescent="0.25">
      <c r="A10" s="164" t="s">
        <v>78</v>
      </c>
      <c r="B10" s="22">
        <f>Input!F20</f>
        <v>1</v>
      </c>
      <c r="F10" s="22">
        <v>75</v>
      </c>
    </row>
    <row r="11" spans="1:15" ht="14.25" x14ac:dyDescent="0.25">
      <c r="A11" s="164" t="s">
        <v>77</v>
      </c>
      <c r="B11" s="166">
        <f>ROUND(Input!F21,2)</f>
        <v>1.18</v>
      </c>
      <c r="I11" s="22" t="str">
        <f>"Site data taken from BREVe3 for "&amp;Input!F6</f>
        <v xml:space="preserve">Site data taken from BREVe3 for </v>
      </c>
    </row>
    <row r="12" spans="1:15" x14ac:dyDescent="0.2">
      <c r="A12" s="22" t="s">
        <v>0</v>
      </c>
      <c r="B12" s="22">
        <f>Input!C6</f>
        <v>0</v>
      </c>
    </row>
    <row r="13" spans="1:15" x14ac:dyDescent="0.2">
      <c r="A13" s="22" t="s">
        <v>39</v>
      </c>
      <c r="B13" s="22">
        <f>Input!C7</f>
        <v>0</v>
      </c>
      <c r="C13" s="22" t="s">
        <v>42</v>
      </c>
      <c r="D13" s="22">
        <f>MIN(B13,2*B12)</f>
        <v>0</v>
      </c>
      <c r="H13" s="22">
        <v>1</v>
      </c>
    </row>
    <row r="14" spans="1:15" x14ac:dyDescent="0.2">
      <c r="A14" s="22" t="s">
        <v>40</v>
      </c>
      <c r="B14" s="22">
        <f>Input!C8</f>
        <v>0</v>
      </c>
      <c r="C14" s="22" t="s">
        <v>43</v>
      </c>
      <c r="D14" s="22">
        <f>MIN(B14,2*B12)</f>
        <v>0</v>
      </c>
      <c r="I14" s="167" t="s">
        <v>254</v>
      </c>
    </row>
    <row r="15" spans="1:15" x14ac:dyDescent="0.2">
      <c r="I15" s="167" t="s">
        <v>255</v>
      </c>
    </row>
    <row r="16" spans="1:15" x14ac:dyDescent="0.2">
      <c r="I16" s="167"/>
    </row>
    <row r="20" spans="1:16" x14ac:dyDescent="0.2">
      <c r="B20" s="22">
        <f>IF(B21=1,B23,B22)</f>
        <v>0.2</v>
      </c>
      <c r="C20" s="167">
        <f>IF(H13=1,B20,0)</f>
        <v>0.2</v>
      </c>
    </row>
    <row r="21" spans="1:16" x14ac:dyDescent="0.2">
      <c r="B21" s="22">
        <v>2</v>
      </c>
    </row>
    <row r="22" spans="1:16" x14ac:dyDescent="0.2">
      <c r="A22" s="22" t="s">
        <v>24</v>
      </c>
      <c r="B22" s="22">
        <v>0.2</v>
      </c>
    </row>
    <row r="23" spans="1:16" x14ac:dyDescent="0.2">
      <c r="B23" s="22">
        <v>0.72</v>
      </c>
    </row>
    <row r="24" spans="1:16" x14ac:dyDescent="0.2">
      <c r="B24" s="22">
        <v>-0.3</v>
      </c>
    </row>
    <row r="26" spans="1:16" x14ac:dyDescent="0.2">
      <c r="A26" s="22" t="s">
        <v>3</v>
      </c>
      <c r="B26" s="22" t="s">
        <v>4</v>
      </c>
      <c r="C26" s="22" t="s">
        <v>5</v>
      </c>
      <c r="D26" s="22" t="s">
        <v>6</v>
      </c>
      <c r="E26" s="22" t="s">
        <v>7</v>
      </c>
      <c r="F26" s="22" t="s">
        <v>8</v>
      </c>
      <c r="G26" s="22" t="s">
        <v>9</v>
      </c>
      <c r="H26" s="22" t="s">
        <v>10</v>
      </c>
      <c r="K26" s="168" t="s">
        <v>54</v>
      </c>
      <c r="L26" s="168"/>
      <c r="M26" s="169"/>
      <c r="N26" s="170"/>
      <c r="O26" s="170"/>
      <c r="P26" s="170"/>
    </row>
    <row r="27" spans="1:16" x14ac:dyDescent="0.2">
      <c r="A27" s="22">
        <v>1</v>
      </c>
      <c r="B27" s="22">
        <f t="shared" ref="B27:B32" si="0">F2</f>
        <v>5</v>
      </c>
      <c r="C27" s="22">
        <v>-2.1</v>
      </c>
      <c r="D27" s="22">
        <v>-1.2</v>
      </c>
      <c r="E27" s="22">
        <v>-0.8</v>
      </c>
      <c r="F27" s="22">
        <v>-1.1000000000000001</v>
      </c>
      <c r="G27" s="22">
        <v>-2.4</v>
      </c>
      <c r="H27" s="22">
        <v>-1.1000000000000001</v>
      </c>
      <c r="K27" s="168" t="s">
        <v>58</v>
      </c>
      <c r="L27" s="168"/>
      <c r="M27" s="169"/>
      <c r="N27" s="170"/>
      <c r="O27" s="170"/>
      <c r="P27" s="170"/>
    </row>
    <row r="28" spans="1:16" x14ac:dyDescent="0.2">
      <c r="A28" s="22">
        <v>2</v>
      </c>
      <c r="B28" s="22">
        <f t="shared" si="0"/>
        <v>10</v>
      </c>
      <c r="C28" s="22">
        <v>-1.9</v>
      </c>
      <c r="D28" s="22">
        <v>-1</v>
      </c>
      <c r="E28" s="22">
        <v>-0.9</v>
      </c>
      <c r="F28" s="22">
        <v>-1.1000000000000001</v>
      </c>
      <c r="G28" s="22">
        <v>-2.5</v>
      </c>
      <c r="H28" s="22">
        <v>-1.1000000000000001</v>
      </c>
      <c r="K28" s="168" t="s">
        <v>37</v>
      </c>
      <c r="L28" s="171">
        <f>calculation!B12</f>
        <v>0</v>
      </c>
      <c r="M28" s="170" t="s">
        <v>1</v>
      </c>
      <c r="N28" s="172" t="s">
        <v>44</v>
      </c>
      <c r="O28" s="173">
        <f>calculation!D14*1000</f>
        <v>0</v>
      </c>
      <c r="P28" s="173" t="s">
        <v>172</v>
      </c>
    </row>
    <row r="29" spans="1:16" x14ac:dyDescent="0.2">
      <c r="A29" s="22">
        <v>3</v>
      </c>
      <c r="B29" s="22">
        <f t="shared" si="0"/>
        <v>15</v>
      </c>
      <c r="C29" s="22">
        <v>-1.6</v>
      </c>
      <c r="D29" s="22">
        <v>-0.9</v>
      </c>
      <c r="E29" s="22">
        <v>-0.9</v>
      </c>
      <c r="F29" s="22">
        <v>-1.1000000000000001</v>
      </c>
      <c r="G29" s="22">
        <v>-2.6</v>
      </c>
      <c r="H29" s="22">
        <v>-1</v>
      </c>
      <c r="K29" s="168" t="s">
        <v>52</v>
      </c>
      <c r="L29" s="171">
        <f>calculation!B13</f>
        <v>0</v>
      </c>
      <c r="M29" s="170" t="s">
        <v>1</v>
      </c>
      <c r="N29" s="172" t="s">
        <v>46</v>
      </c>
      <c r="O29" s="172">
        <f>O28/10</f>
        <v>0</v>
      </c>
      <c r="P29" s="173" t="s">
        <v>172</v>
      </c>
    </row>
    <row r="30" spans="1:16" x14ac:dyDescent="0.2">
      <c r="A30" s="22">
        <v>4</v>
      </c>
      <c r="B30" s="22">
        <f t="shared" si="0"/>
        <v>20</v>
      </c>
      <c r="C30" s="22">
        <v>-1.5</v>
      </c>
      <c r="D30" s="22">
        <v>-0.9</v>
      </c>
      <c r="E30" s="22">
        <v>-0.9</v>
      </c>
      <c r="F30" s="22">
        <v>-1.1000000000000001</v>
      </c>
      <c r="G30" s="22">
        <v>-2.2999999999999998</v>
      </c>
      <c r="H30" s="22">
        <v>-1</v>
      </c>
      <c r="K30" s="168" t="s">
        <v>38</v>
      </c>
      <c r="L30" s="171">
        <f>calculation!B14</f>
        <v>0</v>
      </c>
      <c r="M30" s="170" t="s">
        <v>1</v>
      </c>
      <c r="N30" s="172" t="s">
        <v>62</v>
      </c>
      <c r="O30" s="173">
        <f>+O28/4</f>
        <v>0</v>
      </c>
      <c r="P30" s="173" t="s">
        <v>172</v>
      </c>
    </row>
    <row r="31" spans="1:16" x14ac:dyDescent="0.2">
      <c r="A31" s="22">
        <v>5</v>
      </c>
      <c r="B31" s="22">
        <f t="shared" si="0"/>
        <v>25</v>
      </c>
      <c r="C31" s="22">
        <v>-1.4</v>
      </c>
      <c r="D31" s="22">
        <v>-1</v>
      </c>
      <c r="E31" s="22">
        <v>-1</v>
      </c>
      <c r="F31" s="22">
        <v>-1.2</v>
      </c>
      <c r="G31" s="22">
        <v>-2</v>
      </c>
      <c r="H31" s="22">
        <v>-1</v>
      </c>
      <c r="K31" s="168"/>
      <c r="L31" s="169"/>
      <c r="M31" s="170"/>
      <c r="N31" s="172" t="s">
        <v>45</v>
      </c>
      <c r="O31" s="173">
        <f>calculation!D13*1000</f>
        <v>0</v>
      </c>
      <c r="P31" s="173" t="s">
        <v>172</v>
      </c>
    </row>
    <row r="32" spans="1:16" x14ac:dyDescent="0.2">
      <c r="A32" s="22">
        <v>6</v>
      </c>
      <c r="B32" s="22">
        <f t="shared" si="0"/>
        <v>30</v>
      </c>
      <c r="C32" s="22">
        <v>-1.3</v>
      </c>
      <c r="D32" s="22">
        <v>-1</v>
      </c>
      <c r="E32" s="22">
        <v>-1</v>
      </c>
      <c r="F32" s="22">
        <v>-1.2</v>
      </c>
      <c r="G32" s="22">
        <v>-1.7</v>
      </c>
      <c r="H32" s="22">
        <v>-1</v>
      </c>
      <c r="K32" s="168"/>
      <c r="L32" s="169"/>
      <c r="M32" s="170"/>
      <c r="N32" s="172" t="s">
        <v>48</v>
      </c>
      <c r="O32" s="173">
        <f>+O31/10</f>
        <v>0</v>
      </c>
      <c r="P32" s="173" t="s">
        <v>172</v>
      </c>
    </row>
    <row r="33" spans="1:40" x14ac:dyDescent="0.2">
      <c r="A33" s="22">
        <v>7</v>
      </c>
      <c r="B33" s="22">
        <v>45</v>
      </c>
      <c r="C33" s="22">
        <v>-1.3</v>
      </c>
      <c r="D33" s="22">
        <v>-1</v>
      </c>
      <c r="E33" s="22">
        <v>-1</v>
      </c>
      <c r="F33" s="22">
        <v>-1.2</v>
      </c>
      <c r="G33" s="22">
        <v>-1.5</v>
      </c>
      <c r="H33" s="22">
        <v>-1</v>
      </c>
      <c r="K33" s="168"/>
      <c r="L33" s="169"/>
      <c r="M33" s="169"/>
      <c r="N33" s="172" t="s">
        <v>47</v>
      </c>
      <c r="O33" s="173">
        <f>+O31/4</f>
        <v>0</v>
      </c>
      <c r="P33" s="173" t="s">
        <v>172</v>
      </c>
    </row>
    <row r="34" spans="1:40" x14ac:dyDescent="0.2">
      <c r="A34" s="22">
        <v>8</v>
      </c>
      <c r="B34" s="22">
        <v>60</v>
      </c>
      <c r="C34" s="22">
        <v>-1.2</v>
      </c>
      <c r="D34" s="22">
        <v>-0.8</v>
      </c>
      <c r="E34" s="22">
        <v>-0.7</v>
      </c>
      <c r="F34" s="22">
        <v>-1.2</v>
      </c>
      <c r="G34" s="22">
        <v>-1.2</v>
      </c>
      <c r="H34" s="22">
        <v>-0.7</v>
      </c>
    </row>
    <row r="35" spans="1:40" x14ac:dyDescent="0.2">
      <c r="A35" s="22">
        <v>9</v>
      </c>
      <c r="B35" s="22">
        <v>75</v>
      </c>
      <c r="C35" s="22">
        <v>-1.2</v>
      </c>
      <c r="D35" s="22">
        <v>-0.8</v>
      </c>
      <c r="E35" s="22">
        <v>-0.7</v>
      </c>
      <c r="F35" s="22">
        <v>-1.2</v>
      </c>
      <c r="G35" s="22">
        <v>-1.2</v>
      </c>
      <c r="H35" s="22">
        <v>-0.7</v>
      </c>
    </row>
    <row r="36" spans="1:40" x14ac:dyDescent="0.2">
      <c r="B36" s="22">
        <f>VLOOKUP($G$1,$A$27:$H$35,2)</f>
        <v>5</v>
      </c>
      <c r="C36" s="22">
        <f>VLOOKUP($G$1,$A$27:$H$35,3)</f>
        <v>-2.1</v>
      </c>
      <c r="D36" s="22">
        <f>VLOOKUP($G$1,$A$27:$H$35,4)</f>
        <v>-1.2</v>
      </c>
      <c r="E36" s="22">
        <f>VLOOKUP($G$1,$A$27:$H$35,5)</f>
        <v>-0.8</v>
      </c>
      <c r="F36" s="22">
        <f>VLOOKUP($G$1,$A$27:$H$35,6)</f>
        <v>-1.1000000000000001</v>
      </c>
      <c r="G36" s="22">
        <f>VLOOKUP($G$1,$A$27:$H$35,7)</f>
        <v>-2.4</v>
      </c>
      <c r="H36" s="22">
        <f>VLOOKUP($G$1,$A$27:$H$35,8)</f>
        <v>-1.1000000000000001</v>
      </c>
    </row>
    <row r="37" spans="1:40" x14ac:dyDescent="0.2">
      <c r="B37" s="174"/>
      <c r="C37" s="174"/>
      <c r="D37" s="174"/>
      <c r="E37" s="174"/>
      <c r="F37" s="174"/>
      <c r="G37" s="174"/>
      <c r="H37" s="174"/>
      <c r="J37" s="174"/>
      <c r="K37" s="174"/>
      <c r="L37" s="174"/>
      <c r="M37" s="174"/>
      <c r="N37" s="174"/>
      <c r="O37" s="174"/>
      <c r="P37" s="174"/>
      <c r="R37" s="174"/>
      <c r="S37" s="174"/>
      <c r="T37" s="174"/>
      <c r="U37" s="174"/>
      <c r="V37" s="174"/>
      <c r="W37" s="174"/>
      <c r="X37" s="174"/>
      <c r="Z37" s="174"/>
      <c r="AA37" s="174"/>
      <c r="AB37" s="174"/>
      <c r="AC37" s="174"/>
      <c r="AD37" s="174"/>
      <c r="AE37" s="174"/>
      <c r="AF37" s="174"/>
      <c r="AH37" s="174"/>
      <c r="AI37" s="174"/>
      <c r="AJ37" s="174"/>
      <c r="AK37" s="174"/>
      <c r="AL37" s="174"/>
      <c r="AM37" s="174"/>
      <c r="AN37" s="174"/>
    </row>
    <row r="38" spans="1:40" x14ac:dyDescent="0.2">
      <c r="A38" s="22" t="s">
        <v>14</v>
      </c>
      <c r="B38" s="22" t="s">
        <v>4</v>
      </c>
      <c r="C38" s="22" t="s">
        <v>5</v>
      </c>
      <c r="D38" s="22" t="s">
        <v>6</v>
      </c>
      <c r="E38" s="22" t="s">
        <v>7</v>
      </c>
      <c r="F38" s="22" t="s">
        <v>8</v>
      </c>
      <c r="G38" s="22" t="s">
        <v>9</v>
      </c>
      <c r="H38" s="22" t="s">
        <v>10</v>
      </c>
    </row>
    <row r="39" spans="1:40" x14ac:dyDescent="0.2">
      <c r="A39" s="22">
        <v>1</v>
      </c>
      <c r="B39" s="22">
        <f t="shared" ref="B39:B44" si="1">F2</f>
        <v>5</v>
      </c>
      <c r="C39" s="22">
        <v>-2</v>
      </c>
      <c r="D39" s="22">
        <v>-1.2</v>
      </c>
      <c r="E39" s="22">
        <v>-0.6</v>
      </c>
      <c r="F39" s="22">
        <v>-1.1000000000000001</v>
      </c>
      <c r="G39" s="22">
        <v>-0.9</v>
      </c>
      <c r="H39" s="22">
        <v>-0.6</v>
      </c>
    </row>
    <row r="40" spans="1:40" x14ac:dyDescent="0.2">
      <c r="A40" s="22">
        <v>2</v>
      </c>
      <c r="B40" s="22">
        <f t="shared" si="1"/>
        <v>10</v>
      </c>
      <c r="C40" s="22">
        <v>-1.8</v>
      </c>
      <c r="D40" s="22">
        <v>-1</v>
      </c>
      <c r="E40" s="22">
        <v>-0.6</v>
      </c>
      <c r="F40" s="22">
        <v>-1.3</v>
      </c>
      <c r="G40" s="22">
        <v>-1.1000000000000001</v>
      </c>
      <c r="H40" s="22">
        <v>-0.7</v>
      </c>
    </row>
    <row r="41" spans="1:40" x14ac:dyDescent="0.2">
      <c r="A41" s="22">
        <v>3</v>
      </c>
      <c r="B41" s="22">
        <f t="shared" si="1"/>
        <v>15</v>
      </c>
      <c r="C41" s="22">
        <v>-1.6</v>
      </c>
      <c r="D41" s="22">
        <v>-0.8</v>
      </c>
      <c r="E41" s="22">
        <v>-0.6</v>
      </c>
      <c r="F41" s="22">
        <v>-1.5</v>
      </c>
      <c r="G41" s="22">
        <v>-1.3</v>
      </c>
      <c r="H41" s="22">
        <v>-0.9</v>
      </c>
    </row>
    <row r="42" spans="1:40" x14ac:dyDescent="0.2">
      <c r="A42" s="22">
        <v>4</v>
      </c>
      <c r="B42" s="22">
        <f t="shared" si="1"/>
        <v>20</v>
      </c>
      <c r="C42" s="22">
        <v>-1.5</v>
      </c>
      <c r="D42" s="22">
        <v>-0.7</v>
      </c>
      <c r="E42" s="22">
        <v>-0.6</v>
      </c>
      <c r="F42" s="22">
        <v>-1.4</v>
      </c>
      <c r="G42" s="22">
        <v>-1.2</v>
      </c>
      <c r="H42" s="22">
        <v>-0.8</v>
      </c>
    </row>
    <row r="43" spans="1:40" x14ac:dyDescent="0.2">
      <c r="A43" s="22">
        <v>5</v>
      </c>
      <c r="B43" s="22">
        <f t="shared" si="1"/>
        <v>25</v>
      </c>
      <c r="C43" s="22">
        <v>-1.3</v>
      </c>
      <c r="D43" s="22">
        <v>-0.6</v>
      </c>
      <c r="E43" s="22">
        <v>-0.6</v>
      </c>
      <c r="F43" s="22">
        <v>-1.2</v>
      </c>
      <c r="G43" s="22">
        <v>-1</v>
      </c>
      <c r="H43" s="22">
        <v>-0.7</v>
      </c>
    </row>
    <row r="44" spans="1:40" x14ac:dyDescent="0.2">
      <c r="A44" s="22">
        <v>6</v>
      </c>
      <c r="B44" s="22">
        <f t="shared" si="1"/>
        <v>30</v>
      </c>
      <c r="C44" s="22">
        <v>-1.2</v>
      </c>
      <c r="D44" s="22">
        <v>-0.6</v>
      </c>
      <c r="E44" s="22">
        <v>-0.6</v>
      </c>
      <c r="F44" s="22">
        <v>-1.1000000000000001</v>
      </c>
      <c r="G44" s="22">
        <v>-0.9</v>
      </c>
      <c r="H44" s="22">
        <v>-0.6</v>
      </c>
    </row>
    <row r="45" spans="1:40" x14ac:dyDescent="0.2">
      <c r="A45" s="22">
        <v>7</v>
      </c>
      <c r="B45" s="22">
        <v>45</v>
      </c>
      <c r="C45" s="22">
        <v>-1.2</v>
      </c>
      <c r="D45" s="22">
        <v>-0.6</v>
      </c>
      <c r="E45" s="22">
        <v>-0.6</v>
      </c>
      <c r="F45" s="22">
        <v>-1.2</v>
      </c>
      <c r="G45" s="22">
        <v>-0.6</v>
      </c>
      <c r="H45" s="22">
        <v>-0.6</v>
      </c>
    </row>
    <row r="46" spans="1:40" x14ac:dyDescent="0.2">
      <c r="A46" s="22">
        <v>8</v>
      </c>
      <c r="B46" s="22">
        <v>60</v>
      </c>
      <c r="C46" s="22">
        <v>-1.2</v>
      </c>
      <c r="D46" s="22">
        <v>-0.7</v>
      </c>
      <c r="E46" s="22">
        <v>-0.7</v>
      </c>
      <c r="F46" s="22">
        <v>-1.2</v>
      </c>
      <c r="G46" s="22">
        <v>-0.7</v>
      </c>
      <c r="H46" s="22">
        <v>-0.7</v>
      </c>
    </row>
    <row r="47" spans="1:40" x14ac:dyDescent="0.2">
      <c r="A47" s="22">
        <v>9</v>
      </c>
      <c r="B47" s="22">
        <v>75</v>
      </c>
      <c r="C47" s="22">
        <v>-1.2</v>
      </c>
      <c r="D47" s="22">
        <v>-1.2</v>
      </c>
      <c r="E47" s="22">
        <v>-1.2</v>
      </c>
      <c r="F47" s="22">
        <v>-1.2</v>
      </c>
      <c r="G47" s="22">
        <v>-1.2</v>
      </c>
      <c r="H47" s="22">
        <v>-1.2</v>
      </c>
    </row>
    <row r="48" spans="1:40" x14ac:dyDescent="0.2">
      <c r="B48" s="22">
        <f>VLOOKUP($G$1,$A$39:$H$47,2)</f>
        <v>5</v>
      </c>
      <c r="C48" s="22">
        <f>VLOOKUP($G$1,$A$39:$H$47,3)</f>
        <v>-2</v>
      </c>
      <c r="D48" s="22">
        <f>VLOOKUP($G$1,$A$39:$H$47,4)</f>
        <v>-1.2</v>
      </c>
      <c r="E48" s="22">
        <f>VLOOKUP($G$1,$A$39:$H$47,5)</f>
        <v>-0.6</v>
      </c>
      <c r="F48" s="22">
        <f>VLOOKUP($G$1,$A$39:$H$47,6)</f>
        <v>-1.1000000000000001</v>
      </c>
      <c r="G48" s="22">
        <f>VLOOKUP($G$1,$A$39:$H$47,7)</f>
        <v>-0.9</v>
      </c>
      <c r="H48" s="22">
        <f>VLOOKUP($G$1,$A$39:$H$47,8)</f>
        <v>-0.6</v>
      </c>
    </row>
    <row r="49" spans="1:40" x14ac:dyDescent="0.2">
      <c r="B49" s="174"/>
      <c r="C49" s="175"/>
      <c r="D49" s="175"/>
      <c r="E49" s="175"/>
      <c r="F49" s="175"/>
      <c r="G49" s="175"/>
      <c r="H49" s="175"/>
      <c r="J49" s="174"/>
      <c r="K49" s="176"/>
      <c r="L49" s="176"/>
      <c r="M49" s="176"/>
      <c r="N49" s="176"/>
      <c r="O49" s="176"/>
      <c r="P49" s="176"/>
      <c r="R49" s="174"/>
      <c r="S49" s="176"/>
      <c r="T49" s="176"/>
      <c r="U49" s="176"/>
      <c r="V49" s="176"/>
      <c r="W49" s="176"/>
      <c r="X49" s="176"/>
      <c r="Z49" s="174"/>
      <c r="AA49" s="176"/>
      <c r="AB49" s="176"/>
      <c r="AC49" s="176"/>
      <c r="AD49" s="176"/>
      <c r="AE49" s="176"/>
      <c r="AF49" s="176"/>
      <c r="AH49" s="174"/>
      <c r="AI49" s="176"/>
      <c r="AJ49" s="176"/>
      <c r="AK49" s="176"/>
      <c r="AL49" s="176"/>
      <c r="AM49" s="176"/>
      <c r="AN49" s="176"/>
    </row>
    <row r="50" spans="1:40" x14ac:dyDescent="0.2">
      <c r="A50" s="22" t="s">
        <v>36</v>
      </c>
      <c r="B50" s="22" t="s">
        <v>4</v>
      </c>
      <c r="C50" s="22" t="s">
        <v>5</v>
      </c>
      <c r="D50" s="22" t="s">
        <v>6</v>
      </c>
      <c r="E50" s="22" t="s">
        <v>7</v>
      </c>
      <c r="F50" s="22" t="s">
        <v>8</v>
      </c>
    </row>
    <row r="51" spans="1:40" x14ac:dyDescent="0.2">
      <c r="A51" s="22">
        <v>1</v>
      </c>
      <c r="B51" s="22">
        <f t="shared" ref="B51:B56" si="2">F2</f>
        <v>5</v>
      </c>
      <c r="C51" s="22">
        <v>-2</v>
      </c>
      <c r="D51" s="22">
        <v>-1.2</v>
      </c>
      <c r="E51" s="22">
        <v>-0.7</v>
      </c>
      <c r="F51" s="22">
        <v>-1.4</v>
      </c>
    </row>
    <row r="52" spans="1:40" x14ac:dyDescent="0.2">
      <c r="A52" s="22">
        <v>2</v>
      </c>
      <c r="B52" s="22">
        <f t="shared" si="2"/>
        <v>10</v>
      </c>
      <c r="C52" s="22">
        <v>-1.8</v>
      </c>
      <c r="D52" s="22">
        <v>-1</v>
      </c>
      <c r="E52" s="22">
        <v>-0.7</v>
      </c>
      <c r="F52" s="22">
        <v>-1.4</v>
      </c>
    </row>
    <row r="53" spans="1:40" x14ac:dyDescent="0.2">
      <c r="A53" s="22">
        <v>3</v>
      </c>
      <c r="B53" s="22">
        <f t="shared" si="2"/>
        <v>15</v>
      </c>
      <c r="C53" s="22">
        <v>-1.6</v>
      </c>
      <c r="D53" s="22">
        <v>-0.8</v>
      </c>
      <c r="E53" s="22">
        <v>-0.7</v>
      </c>
      <c r="F53" s="22">
        <v>-1.4</v>
      </c>
    </row>
    <row r="54" spans="1:40" x14ac:dyDescent="0.2">
      <c r="A54" s="22">
        <v>4</v>
      </c>
      <c r="B54" s="22">
        <f t="shared" si="2"/>
        <v>20</v>
      </c>
      <c r="C54" s="22">
        <v>-1.5</v>
      </c>
      <c r="D54" s="22">
        <v>-0.7</v>
      </c>
      <c r="E54" s="22">
        <v>-0.7</v>
      </c>
      <c r="F54" s="22">
        <v>-1.4</v>
      </c>
    </row>
    <row r="55" spans="1:40" x14ac:dyDescent="0.2">
      <c r="A55" s="22">
        <v>5</v>
      </c>
      <c r="B55" s="22">
        <f t="shared" si="2"/>
        <v>25</v>
      </c>
      <c r="C55" s="22">
        <v>-1.3</v>
      </c>
      <c r="D55" s="22">
        <v>-0.7</v>
      </c>
      <c r="E55" s="22">
        <v>-0.7</v>
      </c>
      <c r="F55" s="22">
        <v>-1.4</v>
      </c>
    </row>
    <row r="56" spans="1:40" x14ac:dyDescent="0.2">
      <c r="A56" s="22">
        <v>6</v>
      </c>
      <c r="B56" s="22">
        <f t="shared" si="2"/>
        <v>30</v>
      </c>
      <c r="C56" s="22">
        <v>-1.2</v>
      </c>
      <c r="D56" s="22">
        <v>-0.7</v>
      </c>
      <c r="E56" s="22">
        <v>-0.7</v>
      </c>
      <c r="F56" s="22">
        <v>-1.4</v>
      </c>
    </row>
    <row r="57" spans="1:40" x14ac:dyDescent="0.2">
      <c r="A57" s="22">
        <v>7</v>
      </c>
      <c r="B57" s="22">
        <v>45</v>
      </c>
      <c r="C57" s="22">
        <v>-1.2</v>
      </c>
      <c r="D57" s="22">
        <v>-0.7</v>
      </c>
      <c r="E57" s="22">
        <v>-0.7</v>
      </c>
      <c r="F57" s="22">
        <v>-1.4</v>
      </c>
    </row>
    <row r="58" spans="1:40" x14ac:dyDescent="0.2">
      <c r="A58" s="22">
        <v>8</v>
      </c>
      <c r="B58" s="22">
        <v>60</v>
      </c>
      <c r="C58" s="22">
        <v>-1.2</v>
      </c>
      <c r="D58" s="22">
        <v>-0.7</v>
      </c>
      <c r="E58" s="22">
        <v>-0.7</v>
      </c>
      <c r="F58" s="22">
        <v>-1.4</v>
      </c>
    </row>
    <row r="59" spans="1:40" x14ac:dyDescent="0.2">
      <c r="A59" s="22">
        <v>9</v>
      </c>
      <c r="B59" s="22">
        <v>75</v>
      </c>
      <c r="C59" s="22">
        <v>-1.2</v>
      </c>
      <c r="D59" s="22">
        <v>-1.2</v>
      </c>
      <c r="E59" s="22">
        <v>-1.2</v>
      </c>
      <c r="F59" s="22">
        <v>-1.4</v>
      </c>
    </row>
    <row r="60" spans="1:40" x14ac:dyDescent="0.2">
      <c r="B60" s="22">
        <f>VLOOKUP($G$1,$A$51:$F$60,2)</f>
        <v>5</v>
      </c>
      <c r="C60" s="22">
        <f>VLOOKUP($G$1,$A$51:$F$60,3)</f>
        <v>-2</v>
      </c>
      <c r="D60" s="22">
        <f>VLOOKUP($G$1,$A$51:$F$60,4)</f>
        <v>-1.2</v>
      </c>
      <c r="E60" s="22">
        <f>VLOOKUP($G$1,$A$51:$F$60,5)</f>
        <v>-0.7</v>
      </c>
      <c r="F60" s="22">
        <f>VLOOKUP($G$1,$A$51:$F$60,6)</f>
        <v>-1.4</v>
      </c>
    </row>
    <row r="62" spans="1:40" x14ac:dyDescent="0.2">
      <c r="A62" s="177" t="s">
        <v>53</v>
      </c>
      <c r="B62" s="177"/>
      <c r="C62" s="177" t="s">
        <v>12</v>
      </c>
      <c r="D62" s="177" t="s">
        <v>13</v>
      </c>
      <c r="E62" s="177" t="s">
        <v>7</v>
      </c>
    </row>
    <row r="63" spans="1:40" x14ac:dyDescent="0.2">
      <c r="A63" s="177"/>
      <c r="B63" s="177"/>
      <c r="C63" s="177">
        <v>-2</v>
      </c>
      <c r="D63" s="177">
        <v>-1.4</v>
      </c>
      <c r="E63" s="177">
        <v>-0.7</v>
      </c>
    </row>
    <row r="64" spans="1:40" ht="15" x14ac:dyDescent="0.25">
      <c r="J64" s="164"/>
      <c r="K64" s="164"/>
      <c r="L64" s="178"/>
      <c r="R64" s="164"/>
      <c r="S64" s="164"/>
      <c r="T64" s="178"/>
      <c r="Z64" s="164"/>
      <c r="AA64" s="164"/>
      <c r="AB64" s="178"/>
      <c r="AH64" s="164"/>
      <c r="AI64" s="164"/>
      <c r="AJ64" s="178"/>
    </row>
    <row r="65" spans="1:46" x14ac:dyDescent="0.2">
      <c r="A65" s="177"/>
      <c r="B65" s="177"/>
      <c r="C65" s="179" t="s">
        <v>20</v>
      </c>
      <c r="D65" s="179"/>
      <c r="E65" s="179"/>
      <c r="F65" s="179" t="s">
        <v>21</v>
      </c>
      <c r="G65" s="179"/>
      <c r="H65" s="179"/>
      <c r="J65" s="174"/>
      <c r="K65" s="174"/>
      <c r="L65" s="174"/>
      <c r="M65" s="174"/>
      <c r="N65" s="174"/>
      <c r="O65" s="174"/>
      <c r="AP65" s="174"/>
      <c r="AQ65" s="174"/>
      <c r="AR65" s="174"/>
      <c r="AS65" s="174"/>
      <c r="AT65" s="174"/>
    </row>
    <row r="66" spans="1:46" x14ac:dyDescent="0.2">
      <c r="A66" s="177" t="s">
        <v>19</v>
      </c>
      <c r="B66" s="177"/>
      <c r="C66" s="177" t="s">
        <v>5</v>
      </c>
      <c r="D66" s="177" t="s">
        <v>6</v>
      </c>
      <c r="E66" s="177"/>
      <c r="F66" s="177" t="s">
        <v>12</v>
      </c>
      <c r="G66" s="177" t="s">
        <v>13</v>
      </c>
      <c r="H66" s="177"/>
      <c r="J66" s="180"/>
      <c r="R66" s="180"/>
      <c r="S66" s="180"/>
      <c r="T66" s="180"/>
      <c r="U66" s="180"/>
      <c r="V66" s="180"/>
      <c r="W66" s="180"/>
      <c r="X66" s="180"/>
      <c r="Z66" s="180"/>
      <c r="AH66" s="180"/>
    </row>
    <row r="67" spans="1:46" x14ac:dyDescent="0.2">
      <c r="A67" s="177"/>
      <c r="B67" s="177"/>
      <c r="C67" s="177">
        <v>-1.3</v>
      </c>
      <c r="D67" s="177">
        <v>-0.8</v>
      </c>
      <c r="E67" s="177">
        <v>0.85</v>
      </c>
      <c r="F67" s="177">
        <v>-1.6</v>
      </c>
      <c r="G67" s="177">
        <v>-0.9</v>
      </c>
      <c r="H67" s="177">
        <v>0.85</v>
      </c>
      <c r="J67" s="180"/>
      <c r="K67" s="176"/>
      <c r="L67" s="176"/>
      <c r="M67" s="176"/>
      <c r="N67" s="176"/>
      <c r="O67" s="176"/>
      <c r="P67" s="176"/>
      <c r="R67" s="180"/>
      <c r="S67" s="176"/>
      <c r="T67" s="176"/>
      <c r="U67" s="176"/>
      <c r="V67" s="176"/>
      <c r="W67" s="176"/>
      <c r="X67" s="176"/>
      <c r="Z67" s="180"/>
      <c r="AA67" s="176"/>
      <c r="AB67" s="176"/>
      <c r="AC67" s="176"/>
      <c r="AD67" s="176"/>
      <c r="AE67" s="176"/>
      <c r="AF67" s="176"/>
      <c r="AH67" s="180"/>
      <c r="AI67" s="176"/>
      <c r="AJ67" s="176"/>
      <c r="AK67" s="176"/>
      <c r="AL67" s="176"/>
      <c r="AM67" s="176"/>
      <c r="AN67" s="176"/>
      <c r="AP67" s="181"/>
      <c r="AQ67" s="181"/>
      <c r="AS67" s="181"/>
      <c r="AT67" s="181"/>
    </row>
    <row r="68" spans="1:46" x14ac:dyDescent="0.2">
      <c r="J68" s="180"/>
      <c r="K68" s="176"/>
      <c r="L68" s="176"/>
      <c r="M68" s="176"/>
      <c r="N68" s="176"/>
      <c r="O68" s="176"/>
      <c r="P68" s="176"/>
      <c r="R68" s="180"/>
      <c r="S68" s="176"/>
      <c r="T68" s="176"/>
      <c r="U68" s="176"/>
      <c r="V68" s="176"/>
      <c r="W68" s="176"/>
      <c r="X68" s="176"/>
      <c r="Z68" s="180"/>
      <c r="AA68" s="176"/>
      <c r="AB68" s="176"/>
      <c r="AC68" s="176"/>
      <c r="AD68" s="176"/>
      <c r="AE68" s="176"/>
      <c r="AF68" s="176"/>
      <c r="AH68" s="180"/>
      <c r="AI68" s="176"/>
      <c r="AJ68" s="176"/>
      <c r="AK68" s="176"/>
      <c r="AL68" s="176"/>
      <c r="AM68" s="176"/>
      <c r="AN68" s="176"/>
    </row>
    <row r="69" spans="1:46" x14ac:dyDescent="0.2">
      <c r="J69" s="180"/>
      <c r="K69" s="176"/>
      <c r="L69" s="176"/>
      <c r="M69" s="176"/>
      <c r="N69" s="176"/>
      <c r="O69" s="176"/>
      <c r="P69" s="176"/>
      <c r="R69" s="180"/>
      <c r="S69" s="176"/>
      <c r="T69" s="176"/>
      <c r="U69" s="176"/>
      <c r="V69" s="176"/>
      <c r="W69" s="176"/>
      <c r="X69" s="176"/>
      <c r="Z69" s="180"/>
      <c r="AA69" s="176"/>
      <c r="AB69" s="176"/>
      <c r="AC69" s="176"/>
      <c r="AD69" s="176"/>
      <c r="AE69" s="176"/>
      <c r="AF69" s="176"/>
      <c r="AH69" s="180"/>
      <c r="AI69" s="176"/>
      <c r="AJ69" s="176"/>
      <c r="AK69" s="176"/>
      <c r="AL69" s="176"/>
      <c r="AM69" s="176"/>
      <c r="AN69" s="176"/>
    </row>
    <row r="70" spans="1:46" x14ac:dyDescent="0.2">
      <c r="J70" s="180"/>
      <c r="K70" s="176"/>
      <c r="L70" s="176"/>
      <c r="M70" s="176"/>
      <c r="N70" s="176"/>
      <c r="O70" s="176"/>
      <c r="P70" s="176"/>
      <c r="R70" s="180"/>
      <c r="S70" s="176"/>
      <c r="T70" s="176"/>
      <c r="U70" s="176"/>
      <c r="V70" s="176"/>
      <c r="W70" s="176"/>
      <c r="X70" s="176"/>
      <c r="Z70" s="180"/>
      <c r="AA70" s="176"/>
      <c r="AB70" s="176"/>
      <c r="AC70" s="176"/>
      <c r="AD70" s="176"/>
      <c r="AE70" s="176"/>
      <c r="AF70" s="176"/>
      <c r="AH70" s="180"/>
      <c r="AI70" s="176"/>
      <c r="AJ70" s="176"/>
      <c r="AK70" s="176"/>
      <c r="AL70" s="176"/>
      <c r="AM70" s="176"/>
      <c r="AN70" s="176"/>
    </row>
    <row r="72" spans="1:46" x14ac:dyDescent="0.2">
      <c r="B72" s="164"/>
      <c r="C72" s="174"/>
      <c r="D72" s="174"/>
      <c r="E72" s="174"/>
      <c r="F72" s="174"/>
      <c r="G72" s="174"/>
      <c r="H72" s="174"/>
      <c r="J72" s="174"/>
      <c r="K72" s="174"/>
      <c r="L72" s="174"/>
      <c r="M72" s="174"/>
      <c r="N72" s="174"/>
      <c r="O72" s="174"/>
      <c r="AP72" s="174"/>
      <c r="AQ72" s="174"/>
      <c r="AR72" s="174"/>
      <c r="AS72" s="174"/>
      <c r="AT72" s="174"/>
    </row>
    <row r="73" spans="1:46" x14ac:dyDescent="0.2">
      <c r="C73" s="180"/>
      <c r="J73" s="180"/>
      <c r="R73" s="180"/>
      <c r="S73" s="180"/>
      <c r="T73" s="180"/>
      <c r="U73" s="180"/>
      <c r="V73" s="180"/>
      <c r="W73" s="180"/>
      <c r="X73" s="180"/>
      <c r="Z73" s="180"/>
      <c r="AH73" s="180"/>
    </row>
    <row r="74" spans="1:46" x14ac:dyDescent="0.2">
      <c r="B74" s="180"/>
      <c r="C74" s="182"/>
      <c r="D74" s="182"/>
      <c r="E74" s="182"/>
      <c r="F74" s="182"/>
      <c r="G74" s="182"/>
      <c r="H74" s="182"/>
      <c r="J74" s="180"/>
      <c r="K74" s="176"/>
      <c r="L74" s="176"/>
      <c r="M74" s="176"/>
      <c r="N74" s="176"/>
      <c r="O74" s="176"/>
      <c r="P74" s="176"/>
      <c r="R74" s="180"/>
      <c r="S74" s="176"/>
      <c r="T74" s="176"/>
      <c r="U74" s="176"/>
      <c r="V74" s="176"/>
      <c r="W74" s="176"/>
      <c r="X74" s="176"/>
      <c r="Z74" s="180"/>
      <c r="AA74" s="176"/>
      <c r="AB74" s="176"/>
      <c r="AC74" s="176"/>
      <c r="AD74" s="176"/>
      <c r="AE74" s="176"/>
      <c r="AF74" s="176"/>
      <c r="AH74" s="180"/>
      <c r="AI74" s="176"/>
      <c r="AJ74" s="176"/>
      <c r="AK74" s="176"/>
      <c r="AL74" s="176"/>
      <c r="AM74" s="176"/>
      <c r="AN74" s="176"/>
      <c r="AP74" s="181"/>
      <c r="AQ74" s="181"/>
      <c r="AS74" s="181"/>
      <c r="AT74" s="181"/>
    </row>
    <row r="75" spans="1:46" x14ac:dyDescent="0.2">
      <c r="B75" s="180"/>
      <c r="J75" s="180"/>
      <c r="K75" s="176"/>
      <c r="L75" s="176"/>
      <c r="M75" s="176"/>
      <c r="N75" s="176"/>
      <c r="O75" s="176"/>
      <c r="P75" s="176"/>
      <c r="R75" s="180"/>
      <c r="S75" s="176"/>
      <c r="T75" s="176"/>
      <c r="U75" s="176"/>
      <c r="V75" s="176"/>
      <c r="W75" s="176"/>
      <c r="X75" s="176"/>
      <c r="Z75" s="180"/>
      <c r="AA75" s="176"/>
      <c r="AB75" s="176"/>
      <c r="AC75" s="176"/>
      <c r="AD75" s="176"/>
      <c r="AE75" s="176"/>
      <c r="AF75" s="176"/>
      <c r="AH75" s="180"/>
      <c r="AI75" s="176"/>
      <c r="AJ75" s="176"/>
      <c r="AK75" s="176"/>
      <c r="AL75" s="176"/>
      <c r="AM75" s="176"/>
      <c r="AN75" s="176"/>
    </row>
    <row r="82" spans="1:14" x14ac:dyDescent="0.2">
      <c r="B82" s="22" t="s">
        <v>81</v>
      </c>
    </row>
    <row r="83" spans="1:14" x14ac:dyDescent="0.2">
      <c r="B83" s="22">
        <v>22.670000076293945</v>
      </c>
    </row>
    <row r="89" spans="1:14" x14ac:dyDescent="0.2">
      <c r="B89" s="22">
        <v>10</v>
      </c>
      <c r="C89" s="22">
        <v>10</v>
      </c>
      <c r="D89" s="22">
        <v>10</v>
      </c>
      <c r="E89" s="22">
        <v>10</v>
      </c>
      <c r="F89" s="22">
        <v>10</v>
      </c>
      <c r="G89" s="22">
        <v>10</v>
      </c>
      <c r="H89" s="22">
        <v>10</v>
      </c>
      <c r="I89" s="22">
        <v>10</v>
      </c>
      <c r="J89" s="22">
        <v>10</v>
      </c>
      <c r="K89" s="22">
        <v>10</v>
      </c>
      <c r="L89" s="22">
        <v>10</v>
      </c>
      <c r="M89" s="22">
        <v>10</v>
      </c>
    </row>
    <row r="90" spans="1:14" ht="14.25" x14ac:dyDescent="0.25">
      <c r="A90" s="164" t="s">
        <v>70</v>
      </c>
      <c r="B90" s="181">
        <v>1</v>
      </c>
      <c r="C90" s="181">
        <v>1</v>
      </c>
      <c r="D90" s="181">
        <v>1</v>
      </c>
      <c r="E90" s="181">
        <v>1</v>
      </c>
      <c r="F90" s="181">
        <v>1</v>
      </c>
      <c r="G90" s="181">
        <v>1</v>
      </c>
      <c r="H90" s="181">
        <v>1</v>
      </c>
      <c r="I90" s="181">
        <v>1</v>
      </c>
      <c r="J90" s="181">
        <v>1</v>
      </c>
      <c r="K90" s="181">
        <v>1</v>
      </c>
      <c r="L90" s="181">
        <v>1</v>
      </c>
      <c r="M90" s="181">
        <v>1</v>
      </c>
    </row>
    <row r="91" spans="1:14" ht="14.25" x14ac:dyDescent="0.25">
      <c r="A91" s="164" t="s">
        <v>79</v>
      </c>
      <c r="B91" s="181">
        <v>2.8196001052856445</v>
      </c>
      <c r="C91" s="181">
        <v>2.8196001052856445</v>
      </c>
      <c r="D91" s="181">
        <v>2.8196001052856445</v>
      </c>
      <c r="E91" s="181">
        <v>2.8196001052856445</v>
      </c>
      <c r="F91" s="181">
        <v>2.8196001052856445</v>
      </c>
      <c r="G91" s="181">
        <v>2.8196001052856445</v>
      </c>
      <c r="H91" s="181">
        <v>2.8196001052856445</v>
      </c>
      <c r="I91" s="181">
        <v>2.8196001052856445</v>
      </c>
      <c r="J91" s="181">
        <v>2.8196001052856445</v>
      </c>
      <c r="K91" s="181">
        <v>2.8196001052856445</v>
      </c>
      <c r="L91" s="181">
        <v>2.8196001052856445</v>
      </c>
      <c r="M91" s="181">
        <v>2.8196001052856445</v>
      </c>
    </row>
    <row r="92" spans="1:14" ht="14.25" x14ac:dyDescent="0.25">
      <c r="A92" s="164" t="s">
        <v>78</v>
      </c>
      <c r="B92" s="181">
        <v>1</v>
      </c>
      <c r="C92" s="181">
        <v>1</v>
      </c>
      <c r="D92" s="181">
        <v>1</v>
      </c>
      <c r="E92" s="181">
        <v>1</v>
      </c>
      <c r="F92" s="181">
        <v>1</v>
      </c>
      <c r="G92" s="181">
        <v>1</v>
      </c>
      <c r="H92" s="181">
        <v>1</v>
      </c>
      <c r="I92" s="181">
        <v>1</v>
      </c>
      <c r="J92" s="181">
        <v>1</v>
      </c>
      <c r="K92" s="181">
        <v>1</v>
      </c>
      <c r="L92" s="181">
        <v>1</v>
      </c>
      <c r="M92" s="181">
        <v>1</v>
      </c>
    </row>
    <row r="93" spans="1:14" x14ac:dyDescent="0.2">
      <c r="A93" s="22" t="s">
        <v>80</v>
      </c>
      <c r="B93" s="181">
        <v>0.7390207052230835</v>
      </c>
      <c r="C93" s="181">
        <v>0.64731132984161377</v>
      </c>
      <c r="D93" s="181">
        <v>0.64731132984161377</v>
      </c>
      <c r="E93" s="181">
        <v>0.66516721248626709</v>
      </c>
      <c r="F93" s="181">
        <v>0.64731132984161377</v>
      </c>
      <c r="G93" s="181">
        <v>0.77740514278411865</v>
      </c>
      <c r="H93" s="181">
        <v>0.87761753797531128</v>
      </c>
      <c r="I93" s="181">
        <v>1.0505901575088501</v>
      </c>
      <c r="J93" s="181">
        <v>1.2146956920623779</v>
      </c>
      <c r="K93" s="181">
        <v>1.1905231475830078</v>
      </c>
      <c r="L93" s="181">
        <v>1.0058894157409668</v>
      </c>
      <c r="M93" s="181">
        <v>0.816761314868927</v>
      </c>
      <c r="N93" s="181">
        <f>MAX(B93:M93)</f>
        <v>1.2146956920623779</v>
      </c>
    </row>
    <row r="94" spans="1:14" ht="14.25" x14ac:dyDescent="0.25">
      <c r="A94" s="164" t="s">
        <v>76</v>
      </c>
      <c r="B94" s="181">
        <v>1</v>
      </c>
      <c r="C94" s="181">
        <v>1</v>
      </c>
      <c r="D94" s="181">
        <v>1</v>
      </c>
      <c r="E94" s="181">
        <v>1</v>
      </c>
      <c r="F94" s="181">
        <v>1</v>
      </c>
      <c r="G94" s="181">
        <v>1</v>
      </c>
      <c r="H94" s="181">
        <v>1</v>
      </c>
      <c r="I94" s="181">
        <v>1</v>
      </c>
      <c r="J94" s="181">
        <v>1</v>
      </c>
      <c r="K94" s="181">
        <v>1</v>
      </c>
      <c r="L94" s="181">
        <v>1</v>
      </c>
      <c r="M94" s="181">
        <v>1</v>
      </c>
    </row>
    <row r="95" spans="1:14" ht="14.25" x14ac:dyDescent="0.25">
      <c r="A95" s="164" t="s">
        <v>72</v>
      </c>
      <c r="B95" s="181">
        <v>0.77999997138977051</v>
      </c>
      <c r="C95" s="181">
        <v>0.73000001907348633</v>
      </c>
      <c r="D95" s="181">
        <v>0.73000001907348633</v>
      </c>
      <c r="E95" s="181">
        <v>0.74000000953674316</v>
      </c>
      <c r="F95" s="181">
        <v>0.73000001907348633</v>
      </c>
      <c r="G95" s="181">
        <v>0.80000001192092896</v>
      </c>
      <c r="H95" s="181">
        <v>0.85000002384185791</v>
      </c>
      <c r="I95" s="181">
        <v>0.93000000715255737</v>
      </c>
      <c r="J95" s="181">
        <v>1</v>
      </c>
      <c r="K95" s="181">
        <v>0.99000000953674316</v>
      </c>
      <c r="L95" s="181">
        <v>0.9100000262260437</v>
      </c>
      <c r="M95" s="181">
        <v>0.81999999284744263</v>
      </c>
    </row>
    <row r="96" spans="1:14" x14ac:dyDescent="0.2">
      <c r="B96" s="181"/>
      <c r="C96" s="181"/>
      <c r="D96" s="181"/>
      <c r="E96" s="181"/>
      <c r="F96" s="181"/>
      <c r="G96" s="181"/>
      <c r="H96" s="181"/>
      <c r="I96" s="181"/>
      <c r="J96" s="181"/>
      <c r="K96" s="181"/>
      <c r="L96" s="181"/>
      <c r="M96" s="181"/>
    </row>
    <row r="97" spans="1:40" x14ac:dyDescent="0.2">
      <c r="B97" s="181"/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</row>
    <row r="98" spans="1:40" x14ac:dyDescent="0.2">
      <c r="A98" s="22" t="s">
        <v>103</v>
      </c>
      <c r="B98" s="183">
        <v>0</v>
      </c>
      <c r="C98" s="183">
        <v>0</v>
      </c>
      <c r="D98" s="183">
        <v>0</v>
      </c>
      <c r="E98" s="183">
        <v>0</v>
      </c>
      <c r="F98" s="183">
        <v>0</v>
      </c>
      <c r="G98" s="183">
        <v>0</v>
      </c>
      <c r="H98" s="183">
        <v>0</v>
      </c>
      <c r="I98" s="183">
        <v>0</v>
      </c>
      <c r="J98" s="183">
        <v>0</v>
      </c>
      <c r="K98" s="183">
        <v>0</v>
      </c>
      <c r="L98" s="183">
        <v>0</v>
      </c>
      <c r="M98" s="183">
        <v>0</v>
      </c>
    </row>
    <row r="99" spans="1:40" x14ac:dyDescent="0.2">
      <c r="A99" s="22" t="s">
        <v>104</v>
      </c>
      <c r="B99" s="183">
        <v>0</v>
      </c>
      <c r="C99" s="183">
        <v>0</v>
      </c>
      <c r="D99" s="183">
        <v>0</v>
      </c>
      <c r="E99" s="183">
        <v>0</v>
      </c>
      <c r="F99" s="183">
        <v>0</v>
      </c>
      <c r="G99" s="183">
        <v>0</v>
      </c>
      <c r="H99" s="183">
        <v>0</v>
      </c>
      <c r="I99" s="183">
        <v>0</v>
      </c>
      <c r="J99" s="183">
        <v>0</v>
      </c>
      <c r="K99" s="183">
        <v>0</v>
      </c>
      <c r="L99" s="183">
        <v>0</v>
      </c>
      <c r="M99" s="183">
        <v>0</v>
      </c>
    </row>
    <row r="109" spans="1:40" ht="15" x14ac:dyDescent="0.25">
      <c r="B109" s="164"/>
      <c r="C109" s="164"/>
      <c r="D109" s="178"/>
      <c r="J109" s="164"/>
      <c r="K109" s="164"/>
      <c r="L109" s="178"/>
      <c r="R109" s="164"/>
      <c r="S109" s="164"/>
      <c r="T109" s="178"/>
      <c r="Z109" s="164"/>
      <c r="AA109" s="164"/>
      <c r="AB109" s="178"/>
      <c r="AH109" s="164"/>
      <c r="AI109" s="164"/>
      <c r="AJ109" s="178"/>
    </row>
    <row r="111" spans="1:40" x14ac:dyDescent="0.2">
      <c r="B111" s="180"/>
      <c r="C111" s="180"/>
      <c r="D111" s="180"/>
      <c r="E111" s="180"/>
      <c r="F111" s="180"/>
      <c r="G111" s="180"/>
      <c r="H111" s="180"/>
      <c r="J111" s="180"/>
      <c r="K111" s="180"/>
      <c r="L111" s="180"/>
      <c r="M111" s="180"/>
      <c r="N111" s="180"/>
      <c r="O111" s="180"/>
      <c r="P111" s="180"/>
      <c r="R111" s="180"/>
      <c r="S111" s="180"/>
      <c r="T111" s="180"/>
      <c r="U111" s="180"/>
      <c r="V111" s="180"/>
      <c r="W111" s="180"/>
      <c r="X111" s="180"/>
      <c r="Z111" s="180"/>
      <c r="AA111" s="180"/>
      <c r="AB111" s="180"/>
      <c r="AC111" s="180"/>
      <c r="AD111" s="180"/>
      <c r="AE111" s="180"/>
      <c r="AF111" s="180"/>
      <c r="AH111" s="180"/>
      <c r="AI111" s="180"/>
      <c r="AJ111" s="180"/>
      <c r="AK111" s="180"/>
      <c r="AL111" s="180"/>
      <c r="AM111" s="180"/>
      <c r="AN111" s="180"/>
    </row>
    <row r="112" spans="1:40" x14ac:dyDescent="0.2">
      <c r="B112" s="180"/>
      <c r="C112" s="175"/>
      <c r="D112" s="175"/>
      <c r="E112" s="175"/>
      <c r="F112" s="175"/>
      <c r="G112" s="175"/>
      <c r="H112" s="175"/>
      <c r="J112" s="180"/>
      <c r="K112" s="176"/>
      <c r="L112" s="176"/>
      <c r="M112" s="176"/>
      <c r="N112" s="176"/>
      <c r="O112" s="176"/>
      <c r="P112" s="176"/>
      <c r="R112" s="180"/>
      <c r="S112" s="176"/>
      <c r="T112" s="176"/>
      <c r="U112" s="176"/>
      <c r="V112" s="176"/>
      <c r="W112" s="176"/>
      <c r="X112" s="176"/>
      <c r="Z112" s="180"/>
      <c r="AA112" s="176"/>
      <c r="AB112" s="176"/>
      <c r="AC112" s="176"/>
      <c r="AD112" s="176"/>
      <c r="AE112" s="176"/>
      <c r="AF112" s="176"/>
      <c r="AH112" s="180"/>
      <c r="AI112" s="176"/>
      <c r="AJ112" s="176"/>
      <c r="AK112" s="176"/>
      <c r="AL112" s="176"/>
      <c r="AM112" s="176"/>
      <c r="AN112" s="176"/>
    </row>
    <row r="113" spans="2:40" x14ac:dyDescent="0.2">
      <c r="B113" s="180"/>
      <c r="C113" s="175"/>
      <c r="D113" s="175"/>
      <c r="E113" s="175"/>
      <c r="F113" s="175"/>
      <c r="G113" s="175"/>
      <c r="H113" s="175"/>
      <c r="J113" s="180"/>
      <c r="K113" s="176"/>
      <c r="L113" s="176"/>
      <c r="M113" s="176"/>
      <c r="N113" s="176"/>
      <c r="O113" s="176"/>
      <c r="P113" s="176"/>
      <c r="R113" s="180"/>
      <c r="S113" s="176"/>
      <c r="T113" s="176"/>
      <c r="U113" s="176"/>
      <c r="V113" s="176"/>
      <c r="W113" s="176"/>
      <c r="X113" s="176"/>
      <c r="Z113" s="180"/>
      <c r="AA113" s="176"/>
      <c r="AB113" s="176"/>
      <c r="AC113" s="176"/>
      <c r="AD113" s="176"/>
      <c r="AE113" s="176"/>
      <c r="AF113" s="176"/>
      <c r="AH113" s="180"/>
      <c r="AI113" s="176"/>
      <c r="AJ113" s="176"/>
      <c r="AK113" s="176"/>
      <c r="AL113" s="176"/>
      <c r="AM113" s="176"/>
      <c r="AN113" s="176"/>
    </row>
    <row r="114" spans="2:40" x14ac:dyDescent="0.2">
      <c r="B114" s="180"/>
      <c r="C114" s="175"/>
      <c r="D114" s="175"/>
      <c r="E114" s="175"/>
      <c r="F114" s="175"/>
      <c r="G114" s="175"/>
      <c r="H114" s="175"/>
      <c r="J114" s="180"/>
      <c r="K114" s="176"/>
      <c r="L114" s="176"/>
      <c r="M114" s="176"/>
      <c r="N114" s="176"/>
      <c r="O114" s="176"/>
      <c r="P114" s="176"/>
      <c r="R114" s="180"/>
      <c r="S114" s="176"/>
      <c r="T114" s="176"/>
      <c r="U114" s="176"/>
      <c r="V114" s="176"/>
      <c r="W114" s="176"/>
      <c r="X114" s="176"/>
      <c r="Z114" s="180"/>
      <c r="AA114" s="176"/>
      <c r="AB114" s="176"/>
      <c r="AC114" s="176"/>
      <c r="AD114" s="176"/>
      <c r="AE114" s="176"/>
      <c r="AF114" s="176"/>
      <c r="AH114" s="180"/>
      <c r="AI114" s="176"/>
      <c r="AJ114" s="176"/>
      <c r="AK114" s="176"/>
      <c r="AL114" s="176"/>
      <c r="AM114" s="176"/>
      <c r="AN114" s="176"/>
    </row>
    <row r="115" spans="2:40" x14ac:dyDescent="0.2">
      <c r="B115" s="180"/>
      <c r="C115" s="175"/>
      <c r="D115" s="175"/>
      <c r="E115" s="175"/>
      <c r="F115" s="175"/>
      <c r="G115" s="175"/>
      <c r="H115" s="175"/>
      <c r="J115" s="180"/>
      <c r="K115" s="176"/>
      <c r="L115" s="176"/>
      <c r="M115" s="176"/>
      <c r="N115" s="176"/>
      <c r="O115" s="176"/>
      <c r="P115" s="176"/>
      <c r="R115" s="180"/>
      <c r="S115" s="176"/>
      <c r="T115" s="176"/>
      <c r="U115" s="176"/>
      <c r="V115" s="176"/>
      <c r="W115" s="176"/>
      <c r="X115" s="176"/>
      <c r="Z115" s="180"/>
      <c r="AA115" s="176"/>
      <c r="AB115" s="176"/>
      <c r="AC115" s="176"/>
      <c r="AD115" s="176"/>
      <c r="AE115" s="176"/>
      <c r="AF115" s="176"/>
      <c r="AH115" s="180"/>
      <c r="AI115" s="176"/>
      <c r="AJ115" s="176"/>
      <c r="AK115" s="176"/>
      <c r="AL115" s="176"/>
      <c r="AM115" s="176"/>
      <c r="AN115" s="176"/>
    </row>
  </sheetData>
  <phoneticPr fontId="0" type="noConversion"/>
  <pageMargins left="0.75" right="0.75" top="1" bottom="1" header="0.5" footer="0.5"/>
  <pageSetup paperSize="9" orientation="landscape" horizontalDpi="4294967293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9CCA8-E2C0-4448-A971-928A17C9774A}">
  <sheetPr codeName="Sheet4"/>
  <dimension ref="A1:W53"/>
  <sheetViews>
    <sheetView topLeftCell="A18" workbookViewId="0">
      <selection activeCell="H7" sqref="H7"/>
    </sheetView>
  </sheetViews>
  <sheetFormatPr defaultRowHeight="12.75" x14ac:dyDescent="0.2"/>
  <cols>
    <col min="1" max="1" width="13.140625" bestFit="1" customWidth="1"/>
    <col min="2" max="2" width="11.7109375" customWidth="1"/>
    <col min="3" max="3" width="12.85546875" customWidth="1"/>
    <col min="7" max="7" width="17" customWidth="1"/>
    <col min="8" max="8" width="15.140625" customWidth="1"/>
    <col min="11" max="11" width="13" customWidth="1"/>
    <col min="12" max="12" width="9.28515625" customWidth="1"/>
    <col min="13" max="13" width="12.140625" customWidth="1"/>
    <col min="14" max="14" width="9.7109375" customWidth="1"/>
    <col min="19" max="19" width="10.85546875" customWidth="1"/>
    <col min="23" max="23" width="14.42578125" customWidth="1"/>
  </cols>
  <sheetData>
    <row r="1" spans="1:23" ht="15" x14ac:dyDescent="0.25">
      <c r="A1" s="90" t="s">
        <v>175</v>
      </c>
      <c r="B1" s="90" t="s">
        <v>186</v>
      </c>
      <c r="C1" s="90" t="s">
        <v>176</v>
      </c>
      <c r="D1" s="90" t="s">
        <v>24</v>
      </c>
      <c r="G1" s="112" t="s">
        <v>188</v>
      </c>
      <c r="H1" s="113" t="s">
        <v>187</v>
      </c>
      <c r="J1" s="90"/>
      <c r="K1" s="90" t="s">
        <v>240</v>
      </c>
      <c r="L1" s="90" t="s">
        <v>233</v>
      </c>
      <c r="M1" s="90" t="s">
        <v>226</v>
      </c>
      <c r="N1" s="90" t="s">
        <v>234</v>
      </c>
      <c r="O1" s="90" t="s">
        <v>228</v>
      </c>
      <c r="R1" s="90" t="s">
        <v>248</v>
      </c>
      <c r="S1" s="90" t="s">
        <v>250</v>
      </c>
      <c r="U1" s="90" t="s">
        <v>129</v>
      </c>
      <c r="W1" s="90" t="s">
        <v>252</v>
      </c>
    </row>
    <row r="2" spans="1:23" x14ac:dyDescent="0.2">
      <c r="A2" s="114" t="s">
        <v>249</v>
      </c>
      <c r="B2" s="142">
        <v>0</v>
      </c>
      <c r="C2" s="90">
        <v>0</v>
      </c>
      <c r="D2" s="115">
        <v>0.2</v>
      </c>
      <c r="G2" s="108">
        <v>81</v>
      </c>
      <c r="H2" s="109">
        <f t="shared" ref="H2:H16" si="0">H3+0.01</f>
        <v>2.7199999999999931</v>
      </c>
      <c r="K2" s="115">
        <v>1</v>
      </c>
      <c r="L2">
        <v>0</v>
      </c>
      <c r="M2" s="115">
        <v>-2</v>
      </c>
      <c r="N2" s="115">
        <v>-1.4</v>
      </c>
      <c r="O2" s="115">
        <v>-0.7</v>
      </c>
      <c r="R2">
        <v>1</v>
      </c>
      <c r="S2" s="90" t="s">
        <v>64</v>
      </c>
      <c r="U2" s="115">
        <v>1.35</v>
      </c>
      <c r="W2" s="143">
        <v>0.46700000000000003</v>
      </c>
    </row>
    <row r="3" spans="1:23" x14ac:dyDescent="0.2">
      <c r="A3" s="114" t="s">
        <v>121</v>
      </c>
      <c r="B3" s="142">
        <v>0</v>
      </c>
      <c r="C3" s="90">
        <v>0</v>
      </c>
      <c r="D3" s="115">
        <v>0</v>
      </c>
      <c r="G3" s="108">
        <v>80</v>
      </c>
      <c r="H3" s="109">
        <f t="shared" si="0"/>
        <v>2.7099999999999933</v>
      </c>
      <c r="K3" s="115">
        <v>2</v>
      </c>
      <c r="L3">
        <v>0.05</v>
      </c>
      <c r="M3" s="115">
        <v>-1.9</v>
      </c>
      <c r="N3" s="115">
        <v>-1.3</v>
      </c>
      <c r="O3" s="115">
        <v>-0.7</v>
      </c>
      <c r="R3">
        <v>2</v>
      </c>
      <c r="S3" s="90" t="s">
        <v>65</v>
      </c>
      <c r="U3" s="115">
        <v>1.5</v>
      </c>
      <c r="W3" s="143">
        <v>0.67700000000000005</v>
      </c>
    </row>
    <row r="4" spans="1:23" x14ac:dyDescent="0.2">
      <c r="A4" s="114" t="s">
        <v>251</v>
      </c>
      <c r="B4" s="142">
        <v>0</v>
      </c>
      <c r="C4" s="90">
        <v>0</v>
      </c>
      <c r="D4" s="115">
        <v>0.2</v>
      </c>
      <c r="G4" s="108">
        <v>79</v>
      </c>
      <c r="H4" s="109">
        <f t="shared" si="0"/>
        <v>2.6999999999999935</v>
      </c>
      <c r="K4" s="115">
        <v>3</v>
      </c>
      <c r="L4">
        <v>0.1</v>
      </c>
      <c r="M4" s="115">
        <v>-1.85</v>
      </c>
      <c r="N4" s="115">
        <v>-1.3</v>
      </c>
      <c r="O4" s="115">
        <v>-0.7</v>
      </c>
    </row>
    <row r="5" spans="1:23" x14ac:dyDescent="0.2">
      <c r="A5" s="106" t="s">
        <v>177</v>
      </c>
      <c r="B5" s="107">
        <v>200</v>
      </c>
      <c r="C5">
        <v>51</v>
      </c>
      <c r="D5" s="115">
        <v>0.2</v>
      </c>
      <c r="G5" s="108">
        <v>78</v>
      </c>
      <c r="H5" s="109">
        <f t="shared" si="0"/>
        <v>2.6899999999999937</v>
      </c>
      <c r="K5" s="115">
        <v>4</v>
      </c>
      <c r="L5">
        <v>0.2</v>
      </c>
      <c r="M5" s="115">
        <v>-1.4</v>
      </c>
      <c r="N5" s="115">
        <v>-1</v>
      </c>
      <c r="O5" s="115">
        <v>-0.7</v>
      </c>
    </row>
    <row r="6" spans="1:23" x14ac:dyDescent="0.2">
      <c r="A6" s="106" t="s">
        <v>178</v>
      </c>
      <c r="B6" s="107">
        <v>150</v>
      </c>
      <c r="C6">
        <v>50</v>
      </c>
      <c r="D6" s="115">
        <v>0.2</v>
      </c>
      <c r="G6" s="108">
        <v>77</v>
      </c>
      <c r="H6" s="109">
        <f t="shared" si="0"/>
        <v>2.6799999999999939</v>
      </c>
    </row>
    <row r="7" spans="1:23" x14ac:dyDescent="0.2">
      <c r="A7" s="106" t="s">
        <v>179</v>
      </c>
      <c r="B7" s="107">
        <v>225</v>
      </c>
      <c r="C7">
        <v>37</v>
      </c>
      <c r="D7" s="115">
        <v>0.2</v>
      </c>
      <c r="G7" s="108">
        <v>76</v>
      </c>
      <c r="H7" s="109">
        <f t="shared" si="0"/>
        <v>2.6699999999999942</v>
      </c>
    </row>
    <row r="8" spans="1:23" x14ac:dyDescent="0.2">
      <c r="A8" s="106" t="s">
        <v>180</v>
      </c>
      <c r="B8" s="107">
        <v>200</v>
      </c>
      <c r="C8">
        <v>36</v>
      </c>
      <c r="D8" s="115">
        <v>0.2</v>
      </c>
      <c r="G8" s="108">
        <v>75</v>
      </c>
      <c r="H8" s="109">
        <f t="shared" si="0"/>
        <v>2.6599999999999944</v>
      </c>
    </row>
    <row r="9" spans="1:23" x14ac:dyDescent="0.2">
      <c r="A9" s="106" t="s">
        <v>181</v>
      </c>
      <c r="B9" s="107">
        <v>233.3</v>
      </c>
      <c r="C9">
        <v>33</v>
      </c>
      <c r="D9" s="115">
        <v>0.2</v>
      </c>
      <c r="G9" s="108">
        <v>74</v>
      </c>
      <c r="H9" s="109">
        <f t="shared" si="0"/>
        <v>2.6499999999999946</v>
      </c>
    </row>
    <row r="10" spans="1:23" x14ac:dyDescent="0.2">
      <c r="A10" s="106" t="s">
        <v>182</v>
      </c>
      <c r="B10" s="107">
        <v>310</v>
      </c>
      <c r="C10">
        <v>35</v>
      </c>
      <c r="D10" s="115">
        <v>0.2</v>
      </c>
      <c r="G10" s="108">
        <v>73</v>
      </c>
      <c r="H10" s="109">
        <f t="shared" si="0"/>
        <v>2.6399999999999948</v>
      </c>
    </row>
    <row r="11" spans="1:23" x14ac:dyDescent="0.2">
      <c r="A11" s="106" t="s">
        <v>183</v>
      </c>
      <c r="B11" s="107">
        <v>250</v>
      </c>
      <c r="C11">
        <v>33</v>
      </c>
      <c r="D11" s="115">
        <v>0.2</v>
      </c>
      <c r="G11" s="108">
        <v>72</v>
      </c>
      <c r="H11" s="109">
        <f t="shared" si="0"/>
        <v>2.629999999999995</v>
      </c>
    </row>
    <row r="12" spans="1:23" x14ac:dyDescent="0.2">
      <c r="A12" s="106" t="s">
        <v>184</v>
      </c>
      <c r="B12" s="107">
        <v>280</v>
      </c>
      <c r="C12">
        <v>35</v>
      </c>
      <c r="D12" s="115">
        <v>0.2</v>
      </c>
      <c r="G12" s="108">
        <v>71</v>
      </c>
      <c r="H12" s="109">
        <f t="shared" si="0"/>
        <v>2.6199999999999952</v>
      </c>
    </row>
    <row r="13" spans="1:23" x14ac:dyDescent="0.2">
      <c r="A13" s="106" t="s">
        <v>185</v>
      </c>
      <c r="B13" s="107">
        <v>375</v>
      </c>
      <c r="C13">
        <v>39</v>
      </c>
      <c r="D13" s="115">
        <v>0.2</v>
      </c>
      <c r="G13" s="108">
        <v>70</v>
      </c>
      <c r="H13" s="109">
        <f t="shared" si="0"/>
        <v>2.6099999999999954</v>
      </c>
    </row>
    <row r="14" spans="1:23" x14ac:dyDescent="0.2">
      <c r="A14" s="228" t="s">
        <v>319</v>
      </c>
      <c r="B14" s="227">
        <v>200</v>
      </c>
      <c r="C14">
        <v>60</v>
      </c>
      <c r="D14" s="115">
        <v>0.2</v>
      </c>
      <c r="G14" s="108">
        <v>69</v>
      </c>
      <c r="H14" s="109">
        <f t="shared" si="0"/>
        <v>2.5999999999999956</v>
      </c>
    </row>
    <row r="15" spans="1:23" x14ac:dyDescent="0.2">
      <c r="A15" s="228" t="s">
        <v>320</v>
      </c>
      <c r="B15" s="227">
        <v>150</v>
      </c>
      <c r="C15">
        <v>46</v>
      </c>
      <c r="D15" s="115">
        <v>0.2</v>
      </c>
      <c r="G15" s="108">
        <v>68</v>
      </c>
      <c r="H15" s="109">
        <f t="shared" si="0"/>
        <v>2.5899999999999959</v>
      </c>
    </row>
    <row r="16" spans="1:23" x14ac:dyDescent="0.2">
      <c r="A16" s="228" t="s">
        <v>321</v>
      </c>
      <c r="B16" s="227">
        <v>213</v>
      </c>
      <c r="C16">
        <v>46</v>
      </c>
      <c r="D16" s="115">
        <v>0.2</v>
      </c>
      <c r="G16" s="108">
        <v>67</v>
      </c>
      <c r="H16" s="109">
        <f t="shared" si="0"/>
        <v>2.5799999999999961</v>
      </c>
    </row>
    <row r="17" spans="1:8" x14ac:dyDescent="0.2">
      <c r="A17" s="228" t="s">
        <v>322</v>
      </c>
      <c r="B17" s="227">
        <v>240</v>
      </c>
      <c r="C17">
        <v>42</v>
      </c>
      <c r="D17" s="115">
        <v>0.2</v>
      </c>
      <c r="G17" s="108">
        <v>66</v>
      </c>
      <c r="H17" s="109">
        <f t="shared" ref="H17:H32" si="1">H18+0.01</f>
        <v>2.5699999999999963</v>
      </c>
    </row>
    <row r="18" spans="1:8" x14ac:dyDescent="0.2">
      <c r="A18" s="228" t="s">
        <v>323</v>
      </c>
      <c r="B18" s="227">
        <v>265</v>
      </c>
      <c r="C18">
        <v>73</v>
      </c>
      <c r="D18" s="115">
        <v>0.2</v>
      </c>
      <c r="G18" s="108">
        <v>65</v>
      </c>
      <c r="H18" s="109">
        <f t="shared" si="1"/>
        <v>2.5599999999999965</v>
      </c>
    </row>
    <row r="19" spans="1:8" x14ac:dyDescent="0.2">
      <c r="A19" s="228" t="s">
        <v>324</v>
      </c>
      <c r="B19" s="227">
        <v>252.5</v>
      </c>
      <c r="C19">
        <v>71</v>
      </c>
      <c r="D19" s="115">
        <v>0.2</v>
      </c>
      <c r="G19" s="108">
        <v>64</v>
      </c>
      <c r="H19" s="109">
        <f t="shared" si="1"/>
        <v>2.5499999999999967</v>
      </c>
    </row>
    <row r="20" spans="1:8" x14ac:dyDescent="0.2">
      <c r="A20" s="228" t="s">
        <v>325</v>
      </c>
      <c r="B20" s="227">
        <v>225</v>
      </c>
      <c r="C20">
        <v>68</v>
      </c>
      <c r="D20" s="115">
        <v>0.2</v>
      </c>
      <c r="G20" s="108">
        <v>63</v>
      </c>
      <c r="H20" s="109">
        <f t="shared" si="1"/>
        <v>2.5399999999999969</v>
      </c>
    </row>
    <row r="21" spans="1:8" x14ac:dyDescent="0.2">
      <c r="A21" s="228" t="s">
        <v>326</v>
      </c>
      <c r="B21" s="227">
        <v>195</v>
      </c>
      <c r="C21">
        <v>64</v>
      </c>
      <c r="D21" s="115">
        <v>0.2</v>
      </c>
      <c r="G21" s="108">
        <v>62</v>
      </c>
      <c r="H21" s="109">
        <f t="shared" si="1"/>
        <v>2.5299999999999971</v>
      </c>
    </row>
    <row r="22" spans="1:8" x14ac:dyDescent="0.2">
      <c r="A22" s="228" t="s">
        <v>327</v>
      </c>
      <c r="B22" s="227">
        <v>280</v>
      </c>
      <c r="C22">
        <v>42</v>
      </c>
      <c r="D22" s="115">
        <v>0.2</v>
      </c>
      <c r="G22" s="108">
        <v>61</v>
      </c>
      <c r="H22" s="109">
        <f t="shared" si="1"/>
        <v>2.5199999999999974</v>
      </c>
    </row>
    <row r="23" spans="1:8" x14ac:dyDescent="0.2">
      <c r="A23" s="228" t="s">
        <v>328</v>
      </c>
      <c r="B23" s="227">
        <v>275</v>
      </c>
      <c r="C23">
        <v>50</v>
      </c>
      <c r="D23" s="115">
        <v>0.2</v>
      </c>
      <c r="G23" s="108">
        <v>60</v>
      </c>
      <c r="H23" s="109">
        <f t="shared" si="1"/>
        <v>2.5099999999999976</v>
      </c>
    </row>
    <row r="24" spans="1:8" x14ac:dyDescent="0.2">
      <c r="A24" s="228" t="s">
        <v>329</v>
      </c>
      <c r="B24" s="227">
        <v>250</v>
      </c>
      <c r="C24">
        <v>56</v>
      </c>
      <c r="D24" s="115">
        <v>0.2</v>
      </c>
      <c r="G24" s="108">
        <v>59</v>
      </c>
      <c r="H24" s="109">
        <f t="shared" si="1"/>
        <v>2.4999999999999978</v>
      </c>
    </row>
    <row r="25" spans="1:8" x14ac:dyDescent="0.2">
      <c r="A25" s="228" t="s">
        <v>330</v>
      </c>
      <c r="B25" s="227">
        <v>320</v>
      </c>
      <c r="C25">
        <v>54</v>
      </c>
      <c r="D25" s="115">
        <v>0.2</v>
      </c>
      <c r="G25" s="108">
        <v>58</v>
      </c>
      <c r="H25" s="109">
        <f t="shared" si="1"/>
        <v>2.489999999999998</v>
      </c>
    </row>
    <row r="26" spans="1:8" x14ac:dyDescent="0.2">
      <c r="A26" s="114" t="s">
        <v>331</v>
      </c>
      <c r="B26" s="107">
        <v>310</v>
      </c>
      <c r="C26">
        <v>46</v>
      </c>
      <c r="D26" s="115">
        <v>0.2</v>
      </c>
      <c r="G26" s="108">
        <v>57</v>
      </c>
      <c r="H26" s="109">
        <f t="shared" si="1"/>
        <v>2.4799999999999982</v>
      </c>
    </row>
    <row r="27" spans="1:8" x14ac:dyDescent="0.2">
      <c r="A27" s="114" t="s">
        <v>332</v>
      </c>
      <c r="B27" s="107">
        <v>280</v>
      </c>
      <c r="C27">
        <v>42</v>
      </c>
      <c r="D27" s="115">
        <v>0.2</v>
      </c>
      <c r="G27" s="108">
        <v>56</v>
      </c>
      <c r="H27" s="109">
        <f t="shared" si="1"/>
        <v>2.4699999999999984</v>
      </c>
    </row>
    <row r="28" spans="1:8" x14ac:dyDescent="0.2">
      <c r="A28" s="114" t="s">
        <v>333</v>
      </c>
      <c r="B28" s="107">
        <v>250</v>
      </c>
      <c r="C28">
        <v>47</v>
      </c>
      <c r="D28" s="115">
        <v>0.2</v>
      </c>
      <c r="G28" s="108">
        <v>55</v>
      </c>
      <c r="H28" s="109">
        <f t="shared" si="1"/>
        <v>2.4599999999999986</v>
      </c>
    </row>
    <row r="29" spans="1:8" x14ac:dyDescent="0.2">
      <c r="A29" s="114" t="s">
        <v>334</v>
      </c>
      <c r="B29" s="107">
        <v>375</v>
      </c>
      <c r="C29">
        <v>54</v>
      </c>
      <c r="D29" s="115">
        <v>0.2</v>
      </c>
      <c r="G29" s="108">
        <v>54</v>
      </c>
      <c r="H29" s="109">
        <f t="shared" si="1"/>
        <v>2.4499999999999988</v>
      </c>
    </row>
    <row r="30" spans="1:8" x14ac:dyDescent="0.2">
      <c r="A30" s="106"/>
      <c r="B30" s="107"/>
      <c r="D30" s="115"/>
      <c r="G30" s="108">
        <v>53</v>
      </c>
      <c r="H30" s="109">
        <f t="shared" si="1"/>
        <v>2.4399999999999991</v>
      </c>
    </row>
    <row r="31" spans="1:8" x14ac:dyDescent="0.2">
      <c r="A31" s="106"/>
      <c r="B31" s="107"/>
      <c r="D31" s="115"/>
      <c r="G31" s="108">
        <v>52</v>
      </c>
      <c r="H31" s="109">
        <f t="shared" si="1"/>
        <v>2.4299999999999993</v>
      </c>
    </row>
    <row r="32" spans="1:8" x14ac:dyDescent="0.2">
      <c r="A32" s="106"/>
      <c r="B32" s="107"/>
      <c r="D32" s="115"/>
      <c r="G32" s="108">
        <v>51</v>
      </c>
      <c r="H32" s="109">
        <f t="shared" si="1"/>
        <v>2.4199999999999995</v>
      </c>
    </row>
    <row r="33" spans="1:8" x14ac:dyDescent="0.2">
      <c r="A33" s="226"/>
      <c r="B33" s="227"/>
      <c r="D33" s="115"/>
      <c r="G33" s="108">
        <v>50</v>
      </c>
      <c r="H33" s="109">
        <f>H34+0.01</f>
        <v>2.4099999999999997</v>
      </c>
    </row>
    <row r="34" spans="1:8" x14ac:dyDescent="0.2">
      <c r="G34" s="108">
        <v>49</v>
      </c>
      <c r="H34" s="109">
        <v>2.4</v>
      </c>
    </row>
    <row r="35" spans="1:8" x14ac:dyDescent="0.2">
      <c r="G35" s="108">
        <v>48</v>
      </c>
      <c r="H35" s="109">
        <v>2.3510204081632651</v>
      </c>
    </row>
    <row r="36" spans="1:8" x14ac:dyDescent="0.2">
      <c r="G36" s="108">
        <v>47</v>
      </c>
      <c r="H36" s="109">
        <v>2.3020408163265302</v>
      </c>
    </row>
    <row r="37" spans="1:8" x14ac:dyDescent="0.2">
      <c r="G37" s="108">
        <v>46</v>
      </c>
      <c r="H37" s="109">
        <v>2.2530612244897958</v>
      </c>
    </row>
    <row r="38" spans="1:8" x14ac:dyDescent="0.2">
      <c r="G38" s="108">
        <v>45</v>
      </c>
      <c r="H38" s="109">
        <v>2.204081632653061</v>
      </c>
    </row>
    <row r="39" spans="1:8" x14ac:dyDescent="0.2">
      <c r="G39" s="108">
        <v>44</v>
      </c>
      <c r="H39" s="109">
        <v>2.1551020408163266</v>
      </c>
    </row>
    <row r="40" spans="1:8" x14ac:dyDescent="0.2">
      <c r="G40" s="108">
        <v>43</v>
      </c>
      <c r="H40" s="109">
        <v>2.1061224489795918</v>
      </c>
    </row>
    <row r="41" spans="1:8" x14ac:dyDescent="0.2">
      <c r="G41" s="108">
        <v>42</v>
      </c>
      <c r="H41" s="109">
        <v>2.0571428571428569</v>
      </c>
    </row>
    <row r="42" spans="1:8" x14ac:dyDescent="0.2">
      <c r="G42" s="108">
        <v>41</v>
      </c>
      <c r="H42" s="109">
        <v>2.0081632653061225</v>
      </c>
    </row>
    <row r="43" spans="1:8" x14ac:dyDescent="0.2">
      <c r="G43" s="108">
        <v>40</v>
      </c>
      <c r="H43" s="109">
        <v>1.9591836734693877</v>
      </c>
    </row>
    <row r="44" spans="1:8" x14ac:dyDescent="0.2">
      <c r="G44" s="108">
        <v>39</v>
      </c>
      <c r="H44" s="109">
        <v>1.9102040816326529</v>
      </c>
    </row>
    <row r="45" spans="1:8" x14ac:dyDescent="0.2">
      <c r="G45" s="108">
        <v>38</v>
      </c>
      <c r="H45" s="109">
        <v>1.8612244897959183</v>
      </c>
    </row>
    <row r="46" spans="1:8" x14ac:dyDescent="0.2">
      <c r="G46" s="108">
        <v>37</v>
      </c>
      <c r="H46" s="109">
        <v>1.8122448979591834</v>
      </c>
    </row>
    <row r="47" spans="1:8" x14ac:dyDescent="0.2">
      <c r="G47" s="108">
        <v>36</v>
      </c>
      <c r="H47" s="109">
        <v>1.763265306122449</v>
      </c>
    </row>
    <row r="48" spans="1:8" x14ac:dyDescent="0.2">
      <c r="G48" s="108">
        <v>35</v>
      </c>
      <c r="H48" s="109">
        <v>1.7142857142857142</v>
      </c>
    </row>
    <row r="49" spans="7:8" x14ac:dyDescent="0.2">
      <c r="G49" s="108">
        <v>34</v>
      </c>
      <c r="H49" s="109">
        <v>1.6653061224489796</v>
      </c>
    </row>
    <row r="50" spans="7:8" x14ac:dyDescent="0.2">
      <c r="G50" s="108">
        <v>33</v>
      </c>
      <c r="H50" s="109">
        <v>1.6163265306122447</v>
      </c>
    </row>
    <row r="51" spans="7:8" x14ac:dyDescent="0.2">
      <c r="G51" s="108">
        <v>32</v>
      </c>
      <c r="H51" s="109">
        <v>1.5673469387755101</v>
      </c>
    </row>
    <row r="52" spans="7:8" x14ac:dyDescent="0.2">
      <c r="G52" s="108">
        <v>31</v>
      </c>
      <c r="H52" s="109">
        <v>1.5183673469387755</v>
      </c>
    </row>
    <row r="53" spans="7:8" x14ac:dyDescent="0.2">
      <c r="G53" s="110">
        <v>30</v>
      </c>
      <c r="H53" s="111">
        <v>1.4693877551020409</v>
      </c>
    </row>
  </sheetData>
  <phoneticPr fontId="28" type="noConversion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O104"/>
  <sheetViews>
    <sheetView showZeros="0" showOutlineSymbols="0" topLeftCell="A39" workbookViewId="0">
      <selection activeCell="E36" sqref="E36"/>
    </sheetView>
  </sheetViews>
  <sheetFormatPr defaultRowHeight="12.75" x14ac:dyDescent="0.2"/>
  <cols>
    <col min="1" max="1" width="19.28515625" style="12" customWidth="1"/>
    <col min="2" max="2" width="14.140625" style="12" customWidth="1"/>
    <col min="3" max="3" width="7.7109375" style="13" customWidth="1"/>
    <col min="4" max="8" width="7.7109375" style="15" customWidth="1"/>
    <col min="9" max="9" width="8.85546875" style="15" customWidth="1"/>
    <col min="10" max="10" width="9.5703125" style="15" customWidth="1"/>
    <col min="11" max="16384" width="9.140625" style="15"/>
  </cols>
  <sheetData>
    <row r="1" spans="1:15" x14ac:dyDescent="0.2">
      <c r="A1" s="254" t="str">
        <f>"Project:  " &amp; Input!A24</f>
        <v>Project:  WUC-SP-00</v>
      </c>
      <c r="B1" s="255"/>
      <c r="C1" s="255"/>
      <c r="D1" s="255"/>
      <c r="E1" s="255"/>
      <c r="F1" s="255"/>
      <c r="G1" s="255"/>
      <c r="H1" s="255"/>
    </row>
    <row r="2" spans="1:15" x14ac:dyDescent="0.2">
      <c r="A2" s="255"/>
      <c r="B2" s="255"/>
      <c r="C2" s="255"/>
      <c r="D2" s="255"/>
      <c r="E2" s="255"/>
      <c r="F2" s="255"/>
      <c r="G2" s="255"/>
      <c r="H2" s="255"/>
    </row>
    <row r="3" spans="1:15" x14ac:dyDescent="0.2">
      <c r="A3" s="254" t="str">
        <f>"Client:  " &amp; Input!A27</f>
        <v xml:space="preserve">Client:  </v>
      </c>
      <c r="B3" s="255"/>
      <c r="C3" s="255"/>
      <c r="D3" s="255"/>
      <c r="E3" s="255"/>
      <c r="F3" s="255"/>
      <c r="G3" s="255"/>
      <c r="H3" s="255"/>
    </row>
    <row r="4" spans="1:15" x14ac:dyDescent="0.2">
      <c r="A4" s="255"/>
      <c r="B4" s="255"/>
      <c r="C4" s="255"/>
      <c r="D4" s="255"/>
      <c r="E4" s="255"/>
      <c r="F4" s="255"/>
      <c r="G4" s="255"/>
      <c r="H4" s="255"/>
    </row>
    <row r="5" spans="1:15" x14ac:dyDescent="0.2">
      <c r="A5" s="11" t="s">
        <v>25</v>
      </c>
      <c r="B5" s="11"/>
    </row>
    <row r="6" spans="1:15" x14ac:dyDescent="0.2">
      <c r="A6" s="11"/>
      <c r="B6" s="11"/>
      <c r="J6" s="5"/>
    </row>
    <row r="7" spans="1:15" ht="12.75" customHeight="1" x14ac:dyDescent="0.2">
      <c r="A7" s="252" t="s">
        <v>85</v>
      </c>
      <c r="B7" s="252"/>
      <c r="C7" s="253"/>
      <c r="D7" s="253"/>
      <c r="E7" s="253"/>
      <c r="F7" s="253"/>
      <c r="G7" s="253"/>
      <c r="H7" s="253"/>
    </row>
    <row r="8" spans="1:15" x14ac:dyDescent="0.2">
      <c r="A8" s="253"/>
      <c r="B8" s="253"/>
      <c r="C8" s="253"/>
      <c r="D8" s="253"/>
      <c r="E8" s="253"/>
      <c r="F8" s="253"/>
      <c r="G8" s="253"/>
      <c r="H8" s="253"/>
    </row>
    <row r="9" spans="1:15" x14ac:dyDescent="0.2">
      <c r="A9" s="36"/>
      <c r="B9" s="36"/>
      <c r="C9" s="36"/>
      <c r="D9" s="36"/>
      <c r="E9" s="36"/>
      <c r="F9" s="36"/>
      <c r="G9" s="36"/>
      <c r="H9" s="36"/>
    </row>
    <row r="10" spans="1:15" x14ac:dyDescent="0.2">
      <c r="A10" s="12" t="str">
        <f>IF(Input!$F$6="","",calculation!$I$11)</f>
        <v/>
      </c>
      <c r="B10" s="36"/>
      <c r="C10" s="36"/>
      <c r="D10" s="36"/>
      <c r="E10" s="36"/>
      <c r="F10" s="36"/>
      <c r="G10" s="36"/>
      <c r="H10" s="36"/>
      <c r="J10" s="7"/>
      <c r="K10" s="7"/>
      <c r="L10" s="7"/>
      <c r="M10" s="7"/>
      <c r="N10" s="7"/>
      <c r="O10" s="7"/>
    </row>
    <row r="11" spans="1:15" x14ac:dyDescent="0.2">
      <c r="B11" s="36"/>
      <c r="C11" s="36"/>
      <c r="D11" s="36"/>
      <c r="E11" s="36"/>
      <c r="F11" s="36"/>
      <c r="G11" s="36"/>
      <c r="H11" s="36"/>
      <c r="J11" s="19"/>
      <c r="K11" s="19"/>
      <c r="L11" s="19"/>
      <c r="M11" s="19"/>
      <c r="N11" s="19"/>
      <c r="O11" s="19"/>
    </row>
    <row r="12" spans="1:15" x14ac:dyDescent="0.2">
      <c r="A12" s="11" t="s">
        <v>86</v>
      </c>
      <c r="B12" s="15"/>
      <c r="C12" s="10"/>
      <c r="D12" s="7"/>
      <c r="E12" s="7"/>
      <c r="F12" s="7"/>
      <c r="G12" s="7"/>
      <c r="H12" s="7"/>
      <c r="J12" s="19"/>
      <c r="K12" s="19"/>
      <c r="L12" s="19"/>
      <c r="M12" s="19"/>
      <c r="N12" s="19"/>
      <c r="O12" s="19"/>
    </row>
    <row r="13" spans="1:15" ht="15.75" x14ac:dyDescent="0.3">
      <c r="A13" s="12" t="s">
        <v>92</v>
      </c>
      <c r="C13" s="35">
        <f>calculation!B6</f>
        <v>25.227773555263081</v>
      </c>
      <c r="D13" s="17" t="s">
        <v>2</v>
      </c>
      <c r="E13" s="18"/>
      <c r="F13" s="18"/>
      <c r="G13" s="18"/>
      <c r="H13" s="18"/>
      <c r="J13" s="19"/>
      <c r="K13" s="19"/>
      <c r="L13" s="19"/>
      <c r="M13" s="19"/>
      <c r="N13" s="19"/>
      <c r="O13" s="19"/>
    </row>
    <row r="14" spans="1:15" x14ac:dyDescent="0.2">
      <c r="C14" s="16"/>
      <c r="D14" s="17"/>
      <c r="E14" s="18"/>
      <c r="F14" s="18"/>
      <c r="G14" s="18"/>
      <c r="H14" s="18"/>
      <c r="J14" s="19"/>
      <c r="K14" s="19"/>
      <c r="L14" s="19"/>
      <c r="M14" s="19"/>
      <c r="N14" s="19"/>
      <c r="O14" s="19"/>
    </row>
    <row r="15" spans="1:15" ht="15.75" x14ac:dyDescent="0.3">
      <c r="A15" s="15" t="s">
        <v>87</v>
      </c>
      <c r="C15" s="35">
        <f>calculation!B1</f>
        <v>21.982137614639999</v>
      </c>
      <c r="D15" s="17" t="s">
        <v>2</v>
      </c>
      <c r="E15" s="18"/>
      <c r="F15" s="18"/>
      <c r="G15" s="18"/>
      <c r="H15" s="18"/>
    </row>
    <row r="16" spans="1:15" ht="15.75" x14ac:dyDescent="0.3">
      <c r="A16" s="15" t="s">
        <v>88</v>
      </c>
      <c r="C16" s="16">
        <f>calculation!B2</f>
        <v>1.1469992949511201</v>
      </c>
      <c r="D16" s="12" t="str">
        <f>IF(Input!F7="",calculation!I2,calculation!I3)</f>
        <v>Site Altitude  163m</v>
      </c>
      <c r="F16" s="18"/>
      <c r="G16" s="18"/>
      <c r="H16" s="18"/>
    </row>
    <row r="17" spans="1:15" ht="15.75" x14ac:dyDescent="0.3">
      <c r="A17" s="15" t="s">
        <v>89</v>
      </c>
      <c r="C17" s="13">
        <f>calculation!B3</f>
        <v>1</v>
      </c>
      <c r="D17" s="11"/>
    </row>
    <row r="18" spans="1:15" ht="15.75" x14ac:dyDescent="0.3">
      <c r="A18" s="15" t="s">
        <v>90</v>
      </c>
      <c r="C18" s="13">
        <f>calculation!B4</f>
        <v>1</v>
      </c>
      <c r="D18" s="12"/>
      <c r="J18" s="7"/>
      <c r="K18" s="7"/>
      <c r="L18" s="7"/>
      <c r="M18" s="7"/>
      <c r="N18" s="7"/>
      <c r="O18" s="7"/>
    </row>
    <row r="19" spans="1:15" ht="15.75" x14ac:dyDescent="0.3">
      <c r="A19" s="15" t="s">
        <v>91</v>
      </c>
      <c r="C19" s="13">
        <f>calculation!B5</f>
        <v>1.0005662526750301</v>
      </c>
      <c r="D19" s="12"/>
      <c r="J19" s="19"/>
      <c r="K19" s="19"/>
      <c r="L19" s="19"/>
      <c r="M19" s="19"/>
      <c r="N19" s="19"/>
      <c r="O19" s="19"/>
    </row>
    <row r="20" spans="1:15" x14ac:dyDescent="0.2">
      <c r="E20" s="14"/>
      <c r="F20" s="14"/>
      <c r="G20" s="14"/>
      <c r="H20" s="14"/>
      <c r="J20" s="19"/>
      <c r="K20" s="19"/>
      <c r="L20" s="19"/>
      <c r="M20" s="19"/>
      <c r="N20" s="19"/>
      <c r="O20" s="19"/>
    </row>
    <row r="21" spans="1:15" x14ac:dyDescent="0.2">
      <c r="A21" s="11" t="s">
        <v>93</v>
      </c>
      <c r="B21" s="11"/>
      <c r="C21" s="16"/>
      <c r="D21" s="17"/>
      <c r="E21" s="18"/>
      <c r="F21" s="18"/>
      <c r="G21" s="18"/>
      <c r="H21" s="18"/>
      <c r="J21" s="19"/>
      <c r="K21" s="19"/>
      <c r="L21" s="19"/>
      <c r="M21" s="19"/>
      <c r="N21" s="19"/>
      <c r="O21" s="19"/>
    </row>
    <row r="22" spans="1:15" ht="15.75" x14ac:dyDescent="0.3">
      <c r="A22" s="12" t="s">
        <v>94</v>
      </c>
      <c r="C22" s="16">
        <f>calculation!B7</f>
        <v>0.39013806239460197</v>
      </c>
      <c r="D22" s="34" t="s">
        <v>66</v>
      </c>
      <c r="E22" s="18"/>
      <c r="F22" s="18"/>
      <c r="G22" s="18"/>
      <c r="H22" s="18"/>
      <c r="J22" s="19"/>
      <c r="K22" s="19"/>
      <c r="L22" s="19"/>
      <c r="M22" s="19"/>
      <c r="N22" s="19"/>
      <c r="O22" s="19"/>
    </row>
    <row r="23" spans="1:15" x14ac:dyDescent="0.2">
      <c r="C23" s="16"/>
      <c r="D23" s="17"/>
      <c r="F23" s="18"/>
      <c r="G23" s="18"/>
      <c r="H23" s="18"/>
      <c r="J23" s="19"/>
      <c r="K23" s="19"/>
      <c r="L23" s="19"/>
      <c r="M23" s="19"/>
      <c r="N23" s="19"/>
      <c r="O23" s="19"/>
    </row>
    <row r="24" spans="1:15" x14ac:dyDescent="0.2">
      <c r="A24" s="17" t="str">
        <f>IF(Input!$F$6="","",Input!E8&amp;Input!F8&amp;Input!G8&amp;"   "&amp;Input!E9&amp;Input!F9&amp;Input!G9&amp;"   "&amp;Input!E11&amp;Input!F11&amp;Input!G11)</f>
        <v/>
      </c>
      <c r="B24" s="15"/>
      <c r="C24" s="15"/>
      <c r="E24" s="17"/>
      <c r="F24" s="18"/>
      <c r="G24" s="13"/>
      <c r="H24" s="17"/>
    </row>
    <row r="25" spans="1:15" ht="15.75" x14ac:dyDescent="0.3">
      <c r="A25" s="15" t="s">
        <v>96</v>
      </c>
      <c r="B25" s="15"/>
      <c r="C25" s="38">
        <f>calculation!B8</f>
        <v>1.0695273515116701</v>
      </c>
      <c r="E25" s="17"/>
      <c r="F25" s="18"/>
      <c r="G25" s="13"/>
      <c r="H25" s="17"/>
    </row>
    <row r="26" spans="1:15" ht="15.75" x14ac:dyDescent="0.3">
      <c r="A26" s="15" t="s">
        <v>116</v>
      </c>
      <c r="B26" s="15"/>
      <c r="C26" s="38">
        <f>calculation!B9</f>
        <v>2.7791999999999999</v>
      </c>
      <c r="E26" s="17"/>
      <c r="F26" s="18"/>
      <c r="G26" s="13"/>
      <c r="H26" s="17"/>
      <c r="J26" s="7"/>
      <c r="K26" s="7"/>
      <c r="L26" s="7"/>
      <c r="M26" s="7"/>
      <c r="N26" s="7"/>
      <c r="O26" s="7"/>
    </row>
    <row r="27" spans="1:15" ht="15.75" x14ac:dyDescent="0.3">
      <c r="A27" s="15" t="s">
        <v>97</v>
      </c>
      <c r="C27" s="38">
        <f>calculation!B10</f>
        <v>1</v>
      </c>
      <c r="D27" s="12"/>
      <c r="F27" s="18"/>
      <c r="G27" s="18"/>
      <c r="H27" s="18"/>
      <c r="J27" s="7"/>
      <c r="K27" s="7"/>
      <c r="L27" s="7"/>
      <c r="M27" s="7"/>
      <c r="N27" s="7"/>
      <c r="O27" s="7"/>
    </row>
    <row r="28" spans="1:15" x14ac:dyDescent="0.2">
      <c r="A28" s="5"/>
      <c r="D28" s="12"/>
      <c r="F28" s="18"/>
      <c r="G28" s="18"/>
      <c r="H28" s="18"/>
      <c r="J28" s="7"/>
      <c r="K28" s="7"/>
      <c r="L28" s="7"/>
      <c r="M28" s="7"/>
      <c r="N28" s="7"/>
      <c r="O28" s="7"/>
    </row>
    <row r="29" spans="1:15" x14ac:dyDescent="0.2">
      <c r="A29" s="11" t="s">
        <v>95</v>
      </c>
      <c r="B29" s="11"/>
      <c r="D29" s="12"/>
      <c r="E29" s="18"/>
      <c r="F29" s="18"/>
      <c r="G29" s="18"/>
      <c r="H29" s="18"/>
      <c r="J29" s="7"/>
      <c r="K29" s="7"/>
      <c r="L29" s="7"/>
      <c r="M29" s="7"/>
      <c r="N29" s="7"/>
      <c r="O29" s="7"/>
    </row>
    <row r="30" spans="1:15" ht="15.75" x14ac:dyDescent="0.3">
      <c r="A30" s="12" t="s">
        <v>98</v>
      </c>
      <c r="C30" s="33">
        <f>calculation!B11</f>
        <v>1.18</v>
      </c>
      <c r="D30" s="34" t="s">
        <v>66</v>
      </c>
      <c r="E30" s="18"/>
      <c r="F30" s="18"/>
      <c r="G30" s="18"/>
      <c r="H30" s="18"/>
      <c r="J30" s="7"/>
      <c r="K30" s="7"/>
      <c r="L30" s="7"/>
      <c r="M30" s="7"/>
      <c r="N30" s="7"/>
      <c r="O30" s="7"/>
    </row>
    <row r="31" spans="1:15" x14ac:dyDescent="0.2">
      <c r="E31" s="18"/>
      <c r="F31" s="18"/>
      <c r="G31" s="18"/>
      <c r="H31" s="18"/>
      <c r="J31" s="19"/>
      <c r="K31" s="19"/>
      <c r="L31" s="19"/>
      <c r="M31" s="19"/>
      <c r="N31" s="19"/>
      <c r="O31" s="19"/>
    </row>
    <row r="32" spans="1:15" x14ac:dyDescent="0.2">
      <c r="A32" s="11" t="s">
        <v>26</v>
      </c>
      <c r="B32" s="11"/>
      <c r="J32" s="19"/>
      <c r="K32" s="19"/>
      <c r="L32" s="19"/>
      <c r="M32" s="19"/>
      <c r="N32" s="19"/>
      <c r="O32" s="19"/>
    </row>
    <row r="33" spans="1:15" x14ac:dyDescent="0.2">
      <c r="A33" s="12" t="s">
        <v>19</v>
      </c>
      <c r="J33" s="19"/>
      <c r="K33" s="19"/>
      <c r="L33" s="19"/>
      <c r="M33" s="19"/>
      <c r="N33" s="19"/>
      <c r="O33" s="19"/>
    </row>
    <row r="34" spans="1:15" x14ac:dyDescent="0.2">
      <c r="C34" s="20" t="s">
        <v>20</v>
      </c>
      <c r="D34" s="6"/>
      <c r="E34" s="6"/>
      <c r="F34" s="20" t="s">
        <v>21</v>
      </c>
      <c r="G34" s="6"/>
    </row>
    <row r="35" spans="1:15" x14ac:dyDescent="0.2">
      <c r="C35" s="12" t="s">
        <v>12</v>
      </c>
      <c r="D35" s="13" t="s">
        <v>13</v>
      </c>
      <c r="E35" s="14"/>
      <c r="F35" s="12" t="s">
        <v>12</v>
      </c>
      <c r="G35" s="13" t="s">
        <v>13</v>
      </c>
      <c r="H35" s="14"/>
    </row>
    <row r="36" spans="1:15" x14ac:dyDescent="0.2">
      <c r="A36" s="12" t="s">
        <v>27</v>
      </c>
      <c r="C36" s="14"/>
      <c r="D36" s="14"/>
      <c r="E36" s="14"/>
      <c r="F36" s="14"/>
      <c r="G36" s="14"/>
      <c r="H36" s="14"/>
    </row>
    <row r="37" spans="1:15" ht="15.75" x14ac:dyDescent="0.3">
      <c r="A37" s="12" t="s">
        <v>100</v>
      </c>
      <c r="C37" s="18">
        <f t="shared" ref="C37:H37" si="0">$C$30*C38</f>
        <v>-1.534</v>
      </c>
      <c r="D37" s="18">
        <f t="shared" si="0"/>
        <v>-0.94399999999999995</v>
      </c>
      <c r="E37" s="18">
        <f t="shared" si="0"/>
        <v>1.0029999999999999</v>
      </c>
      <c r="F37" s="18">
        <f t="shared" si="0"/>
        <v>-1.8879999999999999</v>
      </c>
      <c r="G37" s="18">
        <f t="shared" si="0"/>
        <v>-1.0620000000000001</v>
      </c>
      <c r="H37" s="18">
        <f t="shared" si="0"/>
        <v>1.0029999999999999</v>
      </c>
    </row>
    <row r="38" spans="1:15" ht="15.75" x14ac:dyDescent="0.3">
      <c r="A38" s="12" t="s">
        <v>31</v>
      </c>
      <c r="C38" s="14">
        <f>calculation!C67</f>
        <v>-1.3</v>
      </c>
      <c r="D38" s="14">
        <f>calculation!D67</f>
        <v>-0.8</v>
      </c>
      <c r="E38" s="14">
        <f>calculation!E67</f>
        <v>0.85</v>
      </c>
      <c r="F38" s="14">
        <f>calculation!F67</f>
        <v>-1.6</v>
      </c>
      <c r="G38" s="14">
        <f>calculation!G67</f>
        <v>-0.9</v>
      </c>
      <c r="H38" s="14">
        <f>calculation!H67</f>
        <v>0.85</v>
      </c>
    </row>
    <row r="39" spans="1:15" ht="15.75" x14ac:dyDescent="0.3">
      <c r="A39" s="12" t="s">
        <v>99</v>
      </c>
      <c r="C39" s="14">
        <v>1</v>
      </c>
      <c r="D39" s="14">
        <v>1</v>
      </c>
      <c r="E39" s="14">
        <v>1</v>
      </c>
      <c r="F39" s="14">
        <v>1</v>
      </c>
      <c r="G39" s="14">
        <v>1</v>
      </c>
      <c r="H39" s="14">
        <v>1</v>
      </c>
    </row>
    <row r="40" spans="1:15" x14ac:dyDescent="0.2">
      <c r="C40" s="14"/>
      <c r="D40" s="14"/>
      <c r="E40" s="14"/>
      <c r="F40" s="14"/>
      <c r="G40" s="14"/>
      <c r="H40" s="14"/>
    </row>
    <row r="41" spans="1:15" x14ac:dyDescent="0.2">
      <c r="A41" s="12" t="s">
        <v>28</v>
      </c>
      <c r="C41" s="14"/>
      <c r="D41" s="14"/>
      <c r="E41" s="14"/>
      <c r="F41" s="14"/>
      <c r="G41" s="14"/>
      <c r="H41" s="14"/>
    </row>
    <row r="42" spans="1:15" ht="15.75" x14ac:dyDescent="0.3">
      <c r="A42" s="12" t="s">
        <v>101</v>
      </c>
      <c r="C42" s="18">
        <f t="shared" ref="C42:H42" si="1">$C$30*C43</f>
        <v>0.23599999999999999</v>
      </c>
      <c r="D42" s="18">
        <f t="shared" si="1"/>
        <v>0.23599999999999999</v>
      </c>
      <c r="E42" s="18">
        <f t="shared" si="1"/>
        <v>-0.35399999999999998</v>
      </c>
      <c r="F42" s="18">
        <f t="shared" si="1"/>
        <v>0.23599999999999999</v>
      </c>
      <c r="G42" s="18">
        <f t="shared" si="1"/>
        <v>0.23599999999999999</v>
      </c>
      <c r="H42" s="18">
        <f t="shared" si="1"/>
        <v>-0.35399999999999998</v>
      </c>
    </row>
    <row r="43" spans="1:15" ht="15.75" x14ac:dyDescent="0.3">
      <c r="A43" s="12" t="s">
        <v>32</v>
      </c>
      <c r="C43" s="14">
        <f>calculation!$C$20</f>
        <v>0.2</v>
      </c>
      <c r="D43" s="14">
        <f>calculation!$C$20</f>
        <v>0.2</v>
      </c>
      <c r="E43" s="14">
        <v>-0.3</v>
      </c>
      <c r="F43" s="14">
        <f>calculation!$C$20</f>
        <v>0.2</v>
      </c>
      <c r="G43" s="14">
        <f>calculation!$C$20</f>
        <v>0.2</v>
      </c>
      <c r="H43" s="14">
        <v>-0.3</v>
      </c>
    </row>
    <row r="44" spans="1:15" ht="15.75" x14ac:dyDescent="0.3">
      <c r="A44" s="12" t="s">
        <v>99</v>
      </c>
      <c r="C44" s="14">
        <v>1</v>
      </c>
      <c r="D44" s="14">
        <v>1</v>
      </c>
      <c r="E44" s="14">
        <v>1</v>
      </c>
      <c r="F44" s="14">
        <v>1</v>
      </c>
      <c r="G44" s="14">
        <v>1</v>
      </c>
      <c r="H44" s="14">
        <v>1</v>
      </c>
    </row>
    <row r="45" spans="1:15" x14ac:dyDescent="0.2">
      <c r="C45" s="14"/>
      <c r="D45" s="14"/>
      <c r="E45" s="14"/>
      <c r="F45" s="14"/>
      <c r="G45" s="14"/>
      <c r="H45" s="14"/>
    </row>
    <row r="46" spans="1:15" ht="14.25" x14ac:dyDescent="0.2">
      <c r="A46" s="12" t="s">
        <v>29</v>
      </c>
      <c r="C46" s="14"/>
      <c r="D46" s="14"/>
      <c r="E46" s="14"/>
      <c r="F46" s="14"/>
      <c r="G46" s="14"/>
      <c r="H46" s="14"/>
    </row>
    <row r="47" spans="1:15" ht="15.75" x14ac:dyDescent="0.3">
      <c r="A47" s="12" t="s">
        <v>33</v>
      </c>
      <c r="C47" s="18">
        <f t="shared" ref="C47:H47" si="2">C37-C42</f>
        <v>-1.77</v>
      </c>
      <c r="D47" s="18">
        <f t="shared" si="2"/>
        <v>-1.18</v>
      </c>
      <c r="E47" s="18">
        <f t="shared" si="2"/>
        <v>1.3569999999999998</v>
      </c>
      <c r="F47" s="18">
        <f t="shared" si="2"/>
        <v>-2.1239999999999997</v>
      </c>
      <c r="G47" s="18">
        <f t="shared" si="2"/>
        <v>-1.298</v>
      </c>
      <c r="H47" s="18">
        <f t="shared" si="2"/>
        <v>1.3569999999999998</v>
      </c>
    </row>
    <row r="48" spans="1:15" x14ac:dyDescent="0.2">
      <c r="C48" s="14"/>
      <c r="D48" s="14"/>
      <c r="E48" s="14"/>
      <c r="F48" s="14"/>
      <c r="G48" s="14"/>
      <c r="H48" s="14"/>
    </row>
    <row r="49" spans="3:8" x14ac:dyDescent="0.2">
      <c r="C49" s="18">
        <f>calculation!AP74</f>
        <v>0</v>
      </c>
      <c r="D49" s="18">
        <f>calculation!AQ74</f>
        <v>0</v>
      </c>
      <c r="E49" s="18">
        <f>calculation!AR74</f>
        <v>0</v>
      </c>
      <c r="F49" s="18">
        <f>calculation!AS74</f>
        <v>0</v>
      </c>
      <c r="G49" s="18">
        <f>calculation!AT74</f>
        <v>0</v>
      </c>
      <c r="H49" s="18">
        <f>calculation!AU68</f>
        <v>0</v>
      </c>
    </row>
    <row r="72" spans="1:7" x14ac:dyDescent="0.2">
      <c r="A72" s="12" t="s">
        <v>54</v>
      </c>
      <c r="B72" s="13"/>
      <c r="C72" s="15"/>
    </row>
    <row r="73" spans="1:7" x14ac:dyDescent="0.2">
      <c r="A73" s="12" t="s">
        <v>58</v>
      </c>
      <c r="B73" s="13"/>
      <c r="C73" s="15"/>
    </row>
    <row r="74" spans="1:7" x14ac:dyDescent="0.2">
      <c r="B74" s="13"/>
      <c r="C74" s="15"/>
    </row>
    <row r="75" spans="1:7" x14ac:dyDescent="0.2">
      <c r="A75" s="12" t="s">
        <v>37</v>
      </c>
      <c r="B75" s="13">
        <f>calculation!B12</f>
        <v>0</v>
      </c>
      <c r="C75" s="15" t="s">
        <v>1</v>
      </c>
      <c r="E75" s="13" t="s">
        <v>44</v>
      </c>
      <c r="F75" s="13">
        <f>calculation!D14</f>
        <v>0</v>
      </c>
      <c r="G75" s="15" t="s">
        <v>1</v>
      </c>
    </row>
    <row r="76" spans="1:7" x14ac:dyDescent="0.2">
      <c r="A76" s="12" t="s">
        <v>52</v>
      </c>
      <c r="B76" s="13">
        <f>calculation!B13</f>
        <v>0</v>
      </c>
      <c r="C76" s="15" t="s">
        <v>1</v>
      </c>
      <c r="E76" s="13" t="s">
        <v>50</v>
      </c>
      <c r="F76" s="13">
        <f>F75/5</f>
        <v>0</v>
      </c>
      <c r="G76" s="15" t="s">
        <v>1</v>
      </c>
    </row>
    <row r="77" spans="1:7" x14ac:dyDescent="0.2">
      <c r="A77" s="12" t="s">
        <v>38</v>
      </c>
      <c r="B77" s="13">
        <f>calculation!B14</f>
        <v>0</v>
      </c>
      <c r="C77" s="15" t="s">
        <v>1</v>
      </c>
      <c r="E77" s="13" t="s">
        <v>45</v>
      </c>
      <c r="F77" s="13">
        <f>calculation!D13</f>
        <v>0</v>
      </c>
      <c r="G77" s="15" t="s">
        <v>1</v>
      </c>
    </row>
    <row r="78" spans="1:7" x14ac:dyDescent="0.2">
      <c r="B78" s="15"/>
      <c r="C78" s="15"/>
      <c r="E78" s="13" t="s">
        <v>51</v>
      </c>
      <c r="F78" s="13">
        <f>F77/5</f>
        <v>0</v>
      </c>
      <c r="G78" s="15" t="s">
        <v>1</v>
      </c>
    </row>
    <row r="84" spans="1:8" x14ac:dyDescent="0.2">
      <c r="A84" s="12" t="s">
        <v>68</v>
      </c>
    </row>
    <row r="85" spans="1:8" x14ac:dyDescent="0.2">
      <c r="A85" s="256">
        <f>Input!A30</f>
        <v>0</v>
      </c>
      <c r="B85" s="256"/>
      <c r="C85" s="256"/>
      <c r="D85" s="256"/>
      <c r="E85" s="256"/>
      <c r="F85" s="256"/>
      <c r="G85" s="256"/>
      <c r="H85" s="256"/>
    </row>
    <row r="86" spans="1:8" x14ac:dyDescent="0.2">
      <c r="A86" s="256"/>
      <c r="B86" s="256"/>
      <c r="C86" s="256"/>
      <c r="D86" s="256"/>
      <c r="E86" s="256"/>
      <c r="F86" s="256"/>
      <c r="G86" s="256"/>
      <c r="H86" s="256"/>
    </row>
    <row r="87" spans="1:8" x14ac:dyDescent="0.2">
      <c r="A87" s="257">
        <f>Input!A32</f>
        <v>0</v>
      </c>
      <c r="B87" s="257"/>
      <c r="C87" s="257"/>
      <c r="D87" s="257"/>
      <c r="E87" s="257"/>
      <c r="F87" s="257"/>
      <c r="G87" s="257"/>
      <c r="H87" s="257"/>
    </row>
    <row r="88" spans="1:8" x14ac:dyDescent="0.2">
      <c r="A88" s="257"/>
      <c r="B88" s="257"/>
      <c r="C88" s="257"/>
      <c r="D88" s="257"/>
      <c r="E88" s="257"/>
      <c r="F88" s="257"/>
      <c r="G88" s="257"/>
      <c r="H88" s="257"/>
    </row>
    <row r="89" spans="1:8" x14ac:dyDescent="0.2">
      <c r="A89" s="257">
        <f>Input!A34</f>
        <v>0</v>
      </c>
      <c r="B89" s="257"/>
      <c r="C89" s="257"/>
      <c r="D89" s="257"/>
      <c r="E89" s="257"/>
      <c r="F89" s="257"/>
      <c r="G89" s="257"/>
      <c r="H89" s="257"/>
    </row>
    <row r="90" spans="1:8" x14ac:dyDescent="0.2">
      <c r="A90" s="257"/>
      <c r="B90" s="257"/>
      <c r="C90" s="257"/>
      <c r="D90" s="257"/>
      <c r="E90" s="257"/>
      <c r="F90" s="257"/>
      <c r="G90" s="257"/>
      <c r="H90" s="257"/>
    </row>
    <row r="91" spans="1:8" x14ac:dyDescent="0.2">
      <c r="A91" s="257">
        <f>Input!A36</f>
        <v>0</v>
      </c>
      <c r="B91" s="257"/>
      <c r="C91" s="257"/>
      <c r="D91" s="257"/>
      <c r="E91" s="257"/>
      <c r="F91" s="257"/>
      <c r="G91" s="257"/>
      <c r="H91" s="257"/>
    </row>
    <row r="92" spans="1:8" x14ac:dyDescent="0.2">
      <c r="A92" s="257"/>
      <c r="B92" s="257"/>
      <c r="C92" s="257"/>
      <c r="D92" s="257"/>
      <c r="E92" s="257"/>
      <c r="F92" s="257"/>
      <c r="G92" s="257"/>
      <c r="H92" s="257"/>
    </row>
    <row r="93" spans="1:8" x14ac:dyDescent="0.2">
      <c r="A93" s="257">
        <f>Input!A38</f>
        <v>0</v>
      </c>
      <c r="B93" s="257"/>
      <c r="C93" s="257"/>
      <c r="D93" s="257"/>
      <c r="E93" s="257"/>
      <c r="F93" s="257"/>
      <c r="G93" s="257"/>
      <c r="H93" s="257"/>
    </row>
    <row r="94" spans="1:8" x14ac:dyDescent="0.2">
      <c r="A94" s="257"/>
      <c r="B94" s="257"/>
      <c r="C94" s="257"/>
      <c r="D94" s="257"/>
      <c r="E94" s="257"/>
      <c r="F94" s="257"/>
      <c r="G94" s="257"/>
      <c r="H94" s="257"/>
    </row>
    <row r="95" spans="1:8" x14ac:dyDescent="0.2">
      <c r="A95" s="256">
        <f>Input!A40</f>
        <v>0</v>
      </c>
      <c r="B95" s="256"/>
      <c r="C95" s="256"/>
      <c r="D95" s="256"/>
      <c r="E95" s="256"/>
      <c r="F95" s="256"/>
      <c r="G95" s="256"/>
      <c r="H95" s="256"/>
    </row>
    <row r="96" spans="1:8" x14ac:dyDescent="0.2">
      <c r="A96" s="256"/>
      <c r="B96" s="256"/>
      <c r="C96" s="256"/>
      <c r="D96" s="256"/>
      <c r="E96" s="256"/>
      <c r="F96" s="256"/>
      <c r="G96" s="256"/>
      <c r="H96" s="256"/>
    </row>
    <row r="97" spans="1:8" x14ac:dyDescent="0.2">
      <c r="A97" s="257">
        <f>Input!A42</f>
        <v>0</v>
      </c>
      <c r="B97" s="257"/>
      <c r="C97" s="257"/>
      <c r="D97" s="257"/>
      <c r="E97" s="257"/>
      <c r="F97" s="257"/>
      <c r="G97" s="257"/>
      <c r="H97" s="257"/>
    </row>
    <row r="98" spans="1:8" x14ac:dyDescent="0.2">
      <c r="A98" s="257"/>
      <c r="B98" s="257"/>
      <c r="C98" s="257"/>
      <c r="D98" s="257"/>
      <c r="E98" s="257"/>
      <c r="F98" s="257"/>
      <c r="G98" s="257"/>
      <c r="H98" s="257"/>
    </row>
    <row r="99" spans="1:8" x14ac:dyDescent="0.2">
      <c r="A99" s="257">
        <f>Input!A44</f>
        <v>0</v>
      </c>
      <c r="B99" s="257"/>
      <c r="C99" s="257"/>
      <c r="D99" s="257"/>
      <c r="E99" s="257"/>
      <c r="F99" s="257"/>
      <c r="G99" s="257"/>
      <c r="H99" s="257"/>
    </row>
    <row r="100" spans="1:8" x14ac:dyDescent="0.2">
      <c r="A100" s="257"/>
      <c r="B100" s="257"/>
      <c r="C100" s="257"/>
      <c r="D100" s="257"/>
      <c r="E100" s="257"/>
      <c r="F100" s="257"/>
      <c r="G100" s="257"/>
      <c r="H100" s="257"/>
    </row>
    <row r="101" spans="1:8" x14ac:dyDescent="0.2">
      <c r="A101" s="257">
        <f>Input!A46</f>
        <v>0</v>
      </c>
      <c r="B101" s="257"/>
      <c r="C101" s="257"/>
      <c r="D101" s="257"/>
      <c r="E101" s="257"/>
      <c r="F101" s="257"/>
      <c r="G101" s="257"/>
      <c r="H101" s="257"/>
    </row>
    <row r="102" spans="1:8" x14ac:dyDescent="0.2">
      <c r="A102" s="257"/>
      <c r="B102" s="257"/>
      <c r="C102" s="257"/>
      <c r="D102" s="257"/>
      <c r="E102" s="257"/>
      <c r="F102" s="257"/>
      <c r="G102" s="257"/>
      <c r="H102" s="257"/>
    </row>
    <row r="103" spans="1:8" x14ac:dyDescent="0.2">
      <c r="A103" s="257">
        <f>Input!A48</f>
        <v>0</v>
      </c>
      <c r="B103" s="257"/>
      <c r="C103" s="257"/>
      <c r="D103" s="257"/>
      <c r="E103" s="257"/>
      <c r="F103" s="257"/>
      <c r="G103" s="257"/>
      <c r="H103" s="257"/>
    </row>
    <row r="104" spans="1:8" x14ac:dyDescent="0.2">
      <c r="A104" s="257"/>
      <c r="B104" s="257"/>
      <c r="C104" s="257"/>
      <c r="D104" s="257"/>
      <c r="E104" s="257"/>
      <c r="F104" s="257"/>
      <c r="G104" s="257"/>
      <c r="H104" s="257"/>
    </row>
  </sheetData>
  <mergeCells count="13">
    <mergeCell ref="A7:H8"/>
    <mergeCell ref="A1:H2"/>
    <mergeCell ref="A3:H4"/>
    <mergeCell ref="A85:H86"/>
    <mergeCell ref="A103:H104"/>
    <mergeCell ref="A93:H94"/>
    <mergeCell ref="A95:H96"/>
    <mergeCell ref="A97:H98"/>
    <mergeCell ref="A99:H100"/>
    <mergeCell ref="A87:H88"/>
    <mergeCell ref="A89:H90"/>
    <mergeCell ref="A91:H92"/>
    <mergeCell ref="A101:H102"/>
  </mergeCells>
  <phoneticPr fontId="0" type="noConversion"/>
  <pageMargins left="0.74803149606299213" right="0.74803149606299213" top="0.78740157480314965" bottom="0.78740157480314965" header="0.51181102362204722" footer="0.51181102362204722"/>
  <pageSetup paperSize="9" orientation="portrait" horizontalDpi="4294967293" r:id="rId1"/>
  <headerFooter alignWithMargins="0">
    <oddFooter>&amp;L&amp;D&amp;CPage &amp;P of &amp;N</oddFooter>
  </headerFooter>
  <rowBreaks count="1" manualBreakCount="1">
    <brk id="48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New Input</vt:lpstr>
      <vt:lpstr>Flat</vt:lpstr>
      <vt:lpstr>Mono</vt:lpstr>
      <vt:lpstr>Duo</vt:lpstr>
      <vt:lpstr>Barrel Vault Roof</vt:lpstr>
      <vt:lpstr>Calculator</vt:lpstr>
      <vt:lpstr>Input</vt:lpstr>
      <vt:lpstr>calculation</vt:lpstr>
      <vt:lpstr>Data_Tables</vt:lpstr>
      <vt:lpstr>Walls</vt:lpstr>
      <vt:lpstr>Mono!Print_Area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Rogers</dc:creator>
  <cp:lastModifiedBy>Artur Gwiazdowicz</cp:lastModifiedBy>
  <cp:lastPrinted>2024-12-03T15:57:24Z</cp:lastPrinted>
  <dcterms:created xsi:type="dcterms:W3CDTF">2002-07-16T15:32:32Z</dcterms:created>
  <dcterms:modified xsi:type="dcterms:W3CDTF">2025-06-02T08:02:51Z</dcterms:modified>
</cp:coreProperties>
</file>