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homework\"/>
    </mc:Choice>
  </mc:AlternateContent>
  <xr:revisionPtr revIDLastSave="0" documentId="13_ncr:1_{8D4F2C7A-E753-46B5-A576-8EAD7C9802B4}" xr6:coauthVersionLast="47" xr6:coauthVersionMax="47" xr10:uidLastSave="{00000000-0000-0000-0000-000000000000}"/>
  <bookViews>
    <workbookView xWindow="-110" yWindow="-110" windowWidth="25820" windowHeight="13900" xr2:uid="{CC961C6A-2198-48A3-9945-1D9265B72C7C}"/>
  </bookViews>
  <sheets>
    <sheet name="Quiz" sheetId="1" r:id="rId1"/>
    <sheet name="Problem1" sheetId="2" r:id="rId2"/>
    <sheet name="Problem2" sheetId="4" r:id="rId3"/>
    <sheet name="Problem3" sheetId="5" r:id="rId4"/>
    <sheet name="Problem4" sheetId="6" r:id="rId5"/>
    <sheet name="Problem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6" l="1"/>
  <c r="A28" i="6"/>
  <c r="B46" i="4"/>
  <c r="C46" i="4"/>
  <c r="D46" i="4"/>
  <c r="E46" i="4"/>
  <c r="C71" i="7"/>
  <c r="C70" i="7"/>
  <c r="C72" i="7" s="1"/>
  <c r="B60" i="7"/>
  <c r="B47" i="7"/>
  <c r="B48" i="7" s="1"/>
  <c r="B49" i="7" s="1"/>
  <c r="C52" i="7" s="1"/>
  <c r="C64" i="7" s="1"/>
  <c r="B55" i="7"/>
  <c r="B67" i="7" s="1"/>
  <c r="B54" i="7"/>
  <c r="B66" i="7" s="1"/>
  <c r="B53" i="7"/>
  <c r="B65" i="7" s="1"/>
  <c r="B52" i="7"/>
  <c r="B64" i="7" s="1"/>
  <c r="B51" i="7"/>
  <c r="B63" i="7" s="1"/>
  <c r="B39" i="7"/>
  <c r="B40" i="7"/>
  <c r="B41" i="7"/>
  <c r="B42" i="7"/>
  <c r="B38" i="7"/>
  <c r="B35" i="7"/>
  <c r="B36" i="7" s="1"/>
  <c r="K63" i="6"/>
  <c r="K62" i="6"/>
  <c r="F63" i="6"/>
  <c r="F62" i="6"/>
  <c r="A63" i="6"/>
  <c r="A62" i="6"/>
  <c r="A57" i="6"/>
  <c r="G52" i="6"/>
  <c r="E56" i="6"/>
  <c r="N56" i="6" s="1"/>
  <c r="E55" i="6"/>
  <c r="M55" i="6" s="1"/>
  <c r="E54" i="6"/>
  <c r="E53" i="6"/>
  <c r="C44" i="6"/>
  <c r="C45" i="6"/>
  <c r="C43" i="6"/>
  <c r="C42" i="6"/>
  <c r="B35" i="6"/>
  <c r="C36" i="6"/>
  <c r="D36" i="6"/>
  <c r="E36" i="6"/>
  <c r="F36" i="6"/>
  <c r="G36" i="6"/>
  <c r="B36" i="6"/>
  <c r="C35" i="6"/>
  <c r="D35" i="6"/>
  <c r="E35" i="6"/>
  <c r="F35" i="6"/>
  <c r="G35" i="6"/>
  <c r="C34" i="6"/>
  <c r="D34" i="6"/>
  <c r="E34" i="6"/>
  <c r="F34" i="6"/>
  <c r="G34" i="6"/>
  <c r="B34" i="6"/>
  <c r="G33" i="6"/>
  <c r="F33" i="6"/>
  <c r="E33" i="6"/>
  <c r="D33" i="6"/>
  <c r="C33" i="6"/>
  <c r="B33" i="6"/>
  <c r="G32" i="6"/>
  <c r="K52" i="6" s="1"/>
  <c r="F32" i="6"/>
  <c r="J52" i="6" s="1"/>
  <c r="E32" i="6"/>
  <c r="I52" i="6" s="1"/>
  <c r="D32" i="6"/>
  <c r="H52" i="6" s="1"/>
  <c r="C32" i="6"/>
  <c r="B32" i="6"/>
  <c r="F52" i="6" s="1"/>
  <c r="C31" i="6"/>
  <c r="D31" i="6"/>
  <c r="E31" i="6"/>
  <c r="F31" i="6"/>
  <c r="G31" i="6"/>
  <c r="B31" i="6"/>
  <c r="E40" i="5"/>
  <c r="K42" i="5" s="1"/>
  <c r="J42" i="5" s="1"/>
  <c r="B33" i="5"/>
  <c r="B31" i="5"/>
  <c r="B32" i="5" s="1"/>
  <c r="B30" i="5"/>
  <c r="C89" i="4"/>
  <c r="D89" i="4"/>
  <c r="E89" i="4"/>
  <c r="B89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C74" i="4"/>
  <c r="D74" i="4"/>
  <c r="E74" i="4"/>
  <c r="B74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B59" i="4"/>
  <c r="C59" i="4"/>
  <c r="D59" i="4"/>
  <c r="E59" i="4"/>
  <c r="C64" i="4"/>
  <c r="D64" i="4"/>
  <c r="E64" i="4"/>
  <c r="B64" i="4"/>
  <c r="C63" i="4"/>
  <c r="D63" i="4"/>
  <c r="E63" i="4"/>
  <c r="B63" i="4"/>
  <c r="C62" i="4"/>
  <c r="D62" i="4"/>
  <c r="E62" i="4"/>
  <c r="B62" i="4"/>
  <c r="C61" i="4"/>
  <c r="D61" i="4"/>
  <c r="E61" i="4"/>
  <c r="B61" i="4"/>
  <c r="C51" i="7" l="1"/>
  <c r="C63" i="7" s="1"/>
  <c r="C55" i="7"/>
  <c r="C67" i="7" s="1"/>
  <c r="C54" i="7"/>
  <c r="C66" i="7" s="1"/>
  <c r="C53" i="7"/>
  <c r="C65" i="7" s="1"/>
  <c r="E55" i="7"/>
  <c r="C42" i="7"/>
  <c r="E42" i="7" s="1"/>
  <c r="C41" i="7"/>
  <c r="E41" i="7" s="1"/>
  <c r="C40" i="7"/>
  <c r="E40" i="7" s="1"/>
  <c r="E52" i="7"/>
  <c r="C39" i="7"/>
  <c r="D55" i="7"/>
  <c r="F55" i="7" s="1"/>
  <c r="E53" i="7"/>
  <c r="C38" i="7"/>
  <c r="H61" i="6"/>
  <c r="I61" i="6"/>
  <c r="G61" i="6"/>
  <c r="L61" i="6"/>
  <c r="M61" i="6"/>
  <c r="N61" i="6"/>
  <c r="L54" i="6"/>
  <c r="C46" i="6"/>
  <c r="B37" i="6"/>
  <c r="B38" i="6" s="1"/>
  <c r="F37" i="6"/>
  <c r="F38" i="6" s="1"/>
  <c r="E37" i="6"/>
  <c r="E38" i="6" s="1"/>
  <c r="D37" i="6"/>
  <c r="D38" i="6" s="1"/>
  <c r="C37" i="6"/>
  <c r="C38" i="6" s="1"/>
  <c r="G37" i="6"/>
  <c r="G38" i="6" s="1"/>
  <c r="J43" i="5"/>
  <c r="I42" i="5"/>
  <c r="C40" i="5"/>
  <c r="B34" i="5"/>
  <c r="B35" i="5" s="1"/>
  <c r="B36" i="5" s="1"/>
  <c r="D66" i="7" l="1"/>
  <c r="F66" i="7" s="1"/>
  <c r="D67" i="7"/>
  <c r="F67" i="7" s="1"/>
  <c r="D42" i="7"/>
  <c r="F42" i="7" s="1"/>
  <c r="D41" i="7"/>
  <c r="F41" i="7" s="1"/>
  <c r="D64" i="7"/>
  <c r="F64" i="7" s="1"/>
  <c r="D63" i="7"/>
  <c r="F63" i="7" s="1"/>
  <c r="E54" i="7"/>
  <c r="D51" i="7"/>
  <c r="F51" i="7" s="1"/>
  <c r="D65" i="7"/>
  <c r="F65" i="7" s="1"/>
  <c r="D53" i="7"/>
  <c r="F53" i="7" s="1"/>
  <c r="D54" i="7"/>
  <c r="F54" i="7" s="1"/>
  <c r="D38" i="7"/>
  <c r="F38" i="7" s="1"/>
  <c r="D39" i="7"/>
  <c r="F39" i="7" s="1"/>
  <c r="E38" i="7"/>
  <c r="D52" i="7"/>
  <c r="F52" i="7" s="1"/>
  <c r="E51" i="7"/>
  <c r="D40" i="7"/>
  <c r="F40" i="7" s="1"/>
  <c r="E39" i="7"/>
  <c r="C61" i="6"/>
  <c r="D61" i="6"/>
  <c r="B61" i="6"/>
  <c r="C47" i="6"/>
  <c r="D47" i="6" s="1"/>
  <c r="C40" i="6"/>
  <c r="C41" i="5"/>
  <c r="C43" i="5"/>
  <c r="B57" i="7" l="1"/>
  <c r="B44" i="7"/>
  <c r="B61" i="7" s="1"/>
  <c r="C48" i="6"/>
  <c r="C49" i="6" s="1"/>
  <c r="G57" i="6"/>
  <c r="H57" i="6"/>
  <c r="I57" i="6"/>
  <c r="J57" i="6"/>
  <c r="K57" i="6"/>
  <c r="F57" i="6"/>
  <c r="E57" i="6" s="1"/>
  <c r="I41" i="5"/>
  <c r="I43" i="5" s="1"/>
  <c r="F41" i="5"/>
  <c r="F43" i="5" s="1"/>
  <c r="E65" i="7" l="1"/>
  <c r="E64" i="7"/>
  <c r="E66" i="7"/>
  <c r="E67" i="7"/>
  <c r="E63" i="7"/>
  <c r="C69" i="7" s="1"/>
  <c r="C74" i="7" s="1"/>
  <c r="M63" i="6"/>
  <c r="N63" i="6"/>
  <c r="L63" i="6"/>
  <c r="B62" i="6"/>
  <c r="B64" i="6" s="1"/>
  <c r="D62" i="6"/>
  <c r="C62" i="6"/>
  <c r="C64" i="6" s="1"/>
  <c r="M62" i="6"/>
  <c r="M64" i="6" s="1"/>
  <c r="N62" i="6"/>
  <c r="N64" i="6" s="1"/>
  <c r="L62" i="6"/>
  <c r="L64" i="6" s="1"/>
  <c r="G63" i="6"/>
  <c r="I63" i="6"/>
  <c r="H63" i="6"/>
  <c r="I62" i="6"/>
  <c r="G62" i="6"/>
  <c r="H62" i="6"/>
  <c r="D63" i="6"/>
  <c r="B63" i="6"/>
  <c r="C63" i="6"/>
  <c r="G64" i="6" l="1"/>
  <c r="H64" i="6"/>
  <c r="I64" i="6"/>
  <c r="D64" i="6"/>
  <c r="M64" i="4" l="1"/>
  <c r="M76" i="4"/>
  <c r="M35" i="4"/>
  <c r="M47" i="4" s="1"/>
  <c r="N35" i="4"/>
  <c r="O35" i="4"/>
  <c r="L35" i="4"/>
  <c r="O34" i="4"/>
  <c r="O46" i="4" s="1"/>
  <c r="N34" i="4"/>
  <c r="N111" i="4" s="1"/>
  <c r="M34" i="4"/>
  <c r="M37" i="4" s="1"/>
  <c r="L34" i="4"/>
  <c r="L37" i="4" s="1"/>
  <c r="C47" i="4"/>
  <c r="D47" i="4"/>
  <c r="E47" i="4"/>
  <c r="C45" i="4"/>
  <c r="D45" i="4"/>
  <c r="E45" i="4"/>
  <c r="C44" i="4"/>
  <c r="D44" i="4"/>
  <c r="E44" i="4"/>
  <c r="E43" i="4"/>
  <c r="D43" i="4"/>
  <c r="C43" i="4"/>
  <c r="C42" i="4"/>
  <c r="D42" i="4"/>
  <c r="E42" i="4"/>
  <c r="B47" i="4"/>
  <c r="B45" i="4"/>
  <c r="B42" i="4"/>
  <c r="B44" i="4"/>
  <c r="B43" i="4"/>
  <c r="M110" i="4" l="1"/>
  <c r="M111" i="4"/>
  <c r="O49" i="4"/>
  <c r="M45" i="4"/>
  <c r="M60" i="4"/>
  <c r="E75" i="4"/>
  <c r="E80" i="4" s="1"/>
  <c r="E60" i="4"/>
  <c r="E90" i="4"/>
  <c r="E95" i="4" s="1"/>
  <c r="M44" i="4"/>
  <c r="L49" i="4"/>
  <c r="M48" i="4"/>
  <c r="O112" i="4"/>
  <c r="M112" i="4"/>
  <c r="M61" i="4"/>
  <c r="D60" i="4"/>
  <c r="D65" i="4" s="1"/>
  <c r="D66" i="4" s="1"/>
  <c r="D75" i="4"/>
  <c r="D80" i="4" s="1"/>
  <c r="D90" i="4"/>
  <c r="D95" i="4" s="1"/>
  <c r="M108" i="4"/>
  <c r="M95" i="4"/>
  <c r="M93" i="4"/>
  <c r="B60" i="4"/>
  <c r="B75" i="4"/>
  <c r="B80" i="4" s="1"/>
  <c r="B90" i="4"/>
  <c r="B95" i="4" s="1"/>
  <c r="L80" i="4"/>
  <c r="M80" i="4"/>
  <c r="O96" i="4"/>
  <c r="M63" i="4"/>
  <c r="M109" i="4"/>
  <c r="O80" i="4"/>
  <c r="L48" i="4"/>
  <c r="P48" i="4" s="1"/>
  <c r="L47" i="4"/>
  <c r="M62" i="4"/>
  <c r="M49" i="4"/>
  <c r="L112" i="4"/>
  <c r="M94" i="4"/>
  <c r="L79" i="4"/>
  <c r="L64" i="4"/>
  <c r="M78" i="4"/>
  <c r="O64" i="4"/>
  <c r="C90" i="4"/>
  <c r="C95" i="4" s="1"/>
  <c r="C60" i="4"/>
  <c r="C65" i="4" s="1"/>
  <c r="C66" i="4" s="1"/>
  <c r="C75" i="4"/>
  <c r="C80" i="4" s="1"/>
  <c r="N49" i="4"/>
  <c r="M96" i="4"/>
  <c r="M46" i="4"/>
  <c r="L111" i="4"/>
  <c r="L96" i="4"/>
  <c r="L95" i="4"/>
  <c r="M92" i="4"/>
  <c r="M79" i="4"/>
  <c r="L63" i="4"/>
  <c r="M77" i="4"/>
  <c r="O48" i="4"/>
  <c r="N64" i="4"/>
  <c r="P64" i="4" s="1"/>
  <c r="N95" i="4"/>
  <c r="N109" i="4"/>
  <c r="N93" i="4"/>
  <c r="N77" i="4"/>
  <c r="N61" i="4"/>
  <c r="N45" i="4"/>
  <c r="O109" i="4"/>
  <c r="O93" i="4"/>
  <c r="O77" i="4"/>
  <c r="O61" i="4"/>
  <c r="O45" i="4"/>
  <c r="N63" i="4"/>
  <c r="L46" i="4"/>
  <c r="O94" i="4"/>
  <c r="L76" i="4"/>
  <c r="N92" i="4"/>
  <c r="N60" i="4"/>
  <c r="N44" i="4"/>
  <c r="O108" i="4"/>
  <c r="O92" i="4"/>
  <c r="O76" i="4"/>
  <c r="O60" i="4"/>
  <c r="O44" i="4"/>
  <c r="L110" i="4"/>
  <c r="N110" i="4"/>
  <c r="L91" i="4"/>
  <c r="L59" i="4"/>
  <c r="L43" i="4"/>
  <c r="M107" i="4"/>
  <c r="M91" i="4"/>
  <c r="M75" i="4"/>
  <c r="M59" i="4"/>
  <c r="M43" i="4"/>
  <c r="N107" i="4"/>
  <c r="N91" i="4"/>
  <c r="N75" i="4"/>
  <c r="N59" i="4"/>
  <c r="N43" i="4"/>
  <c r="O107" i="4"/>
  <c r="O91" i="4"/>
  <c r="O75" i="4"/>
  <c r="O59" i="4"/>
  <c r="O43" i="4"/>
  <c r="N48" i="4"/>
  <c r="L58" i="4"/>
  <c r="O106" i="4"/>
  <c r="O95" i="4"/>
  <c r="N78" i="4"/>
  <c r="O62" i="4"/>
  <c r="L109" i="4"/>
  <c r="L77" i="4"/>
  <c r="L45" i="4"/>
  <c r="L92" i="4"/>
  <c r="P92" i="4" s="1"/>
  <c r="L75" i="4"/>
  <c r="L74" i="4"/>
  <c r="M58" i="4"/>
  <c r="N90" i="4"/>
  <c r="N42" i="4"/>
  <c r="O38" i="4"/>
  <c r="L105" i="4"/>
  <c r="L89" i="4"/>
  <c r="L73" i="4"/>
  <c r="L57" i="4"/>
  <c r="L41" i="4"/>
  <c r="M105" i="4"/>
  <c r="M89" i="4"/>
  <c r="M73" i="4"/>
  <c r="M57" i="4"/>
  <c r="M41" i="4"/>
  <c r="N105" i="4"/>
  <c r="N89" i="4"/>
  <c r="N73" i="4"/>
  <c r="N57" i="4"/>
  <c r="N41" i="4"/>
  <c r="O105" i="4"/>
  <c r="O89" i="4"/>
  <c r="O73" i="4"/>
  <c r="O57" i="4"/>
  <c r="O41" i="4"/>
  <c r="O111" i="4"/>
  <c r="N46" i="4"/>
  <c r="L60" i="4"/>
  <c r="M42" i="4"/>
  <c r="O58" i="4"/>
  <c r="N38" i="4"/>
  <c r="L104" i="4"/>
  <c r="L88" i="4"/>
  <c r="L72" i="4"/>
  <c r="L56" i="4"/>
  <c r="L40" i="4"/>
  <c r="M104" i="4"/>
  <c r="M88" i="4"/>
  <c r="M72" i="4"/>
  <c r="M56" i="4"/>
  <c r="M40" i="4"/>
  <c r="N104" i="4"/>
  <c r="N88" i="4"/>
  <c r="N72" i="4"/>
  <c r="N56" i="4"/>
  <c r="N40" i="4"/>
  <c r="O104" i="4"/>
  <c r="O88" i="4"/>
  <c r="O72" i="4"/>
  <c r="O56" i="4"/>
  <c r="O40" i="4"/>
  <c r="N80" i="4"/>
  <c r="O63" i="4"/>
  <c r="L44" i="4"/>
  <c r="L38" i="4"/>
  <c r="M38" i="4"/>
  <c r="L103" i="4"/>
  <c r="L87" i="4"/>
  <c r="L71" i="4"/>
  <c r="L55" i="4"/>
  <c r="L39" i="4"/>
  <c r="M103" i="4"/>
  <c r="M87" i="4"/>
  <c r="M71" i="4"/>
  <c r="M55" i="4"/>
  <c r="M39" i="4"/>
  <c r="N103" i="4"/>
  <c r="N87" i="4"/>
  <c r="N71" i="4"/>
  <c r="N55" i="4"/>
  <c r="N39" i="4"/>
  <c r="O103" i="4"/>
  <c r="O87" i="4"/>
  <c r="O71" i="4"/>
  <c r="O55" i="4"/>
  <c r="O39" i="4"/>
  <c r="N112" i="4"/>
  <c r="O47" i="4"/>
  <c r="L94" i="4"/>
  <c r="L108" i="4"/>
  <c r="N76" i="4"/>
  <c r="M106" i="4"/>
  <c r="O90" i="4"/>
  <c r="L118" i="4"/>
  <c r="L102" i="4"/>
  <c r="L86" i="4"/>
  <c r="L70" i="4"/>
  <c r="L54" i="4"/>
  <c r="M118" i="4"/>
  <c r="M102" i="4"/>
  <c r="M86" i="4"/>
  <c r="M70" i="4"/>
  <c r="M54" i="4"/>
  <c r="N118" i="4"/>
  <c r="N102" i="4"/>
  <c r="N86" i="4"/>
  <c r="N70" i="4"/>
  <c r="N54" i="4"/>
  <c r="O118" i="4"/>
  <c r="O102" i="4"/>
  <c r="O86" i="4"/>
  <c r="O70" i="4"/>
  <c r="O54" i="4"/>
  <c r="N79" i="4"/>
  <c r="O110" i="4"/>
  <c r="L90" i="4"/>
  <c r="L117" i="4"/>
  <c r="L101" i="4"/>
  <c r="L85" i="4"/>
  <c r="L69" i="4"/>
  <c r="L53" i="4"/>
  <c r="P53" i="4" s="1"/>
  <c r="M117" i="4"/>
  <c r="M101" i="4"/>
  <c r="M85" i="4"/>
  <c r="M69" i="4"/>
  <c r="M53" i="4"/>
  <c r="N117" i="4"/>
  <c r="N101" i="4"/>
  <c r="N85" i="4"/>
  <c r="N69" i="4"/>
  <c r="N53" i="4"/>
  <c r="O117" i="4"/>
  <c r="O101" i="4"/>
  <c r="O85" i="4"/>
  <c r="O69" i="4"/>
  <c r="O53" i="4"/>
  <c r="N96" i="4"/>
  <c r="P96" i="4" s="1"/>
  <c r="N94" i="4"/>
  <c r="M90" i="4"/>
  <c r="N74" i="4"/>
  <c r="L116" i="4"/>
  <c r="L84" i="4"/>
  <c r="L68" i="4"/>
  <c r="L52" i="4"/>
  <c r="M116" i="4"/>
  <c r="M100" i="4"/>
  <c r="M84" i="4"/>
  <c r="M68" i="4"/>
  <c r="M52" i="4"/>
  <c r="N116" i="4"/>
  <c r="N100" i="4"/>
  <c r="N84" i="4"/>
  <c r="N68" i="4"/>
  <c r="N52" i="4"/>
  <c r="O116" i="4"/>
  <c r="O100" i="4"/>
  <c r="O84" i="4"/>
  <c r="O68" i="4"/>
  <c r="O52" i="4"/>
  <c r="L78" i="4"/>
  <c r="N62" i="4"/>
  <c r="L107" i="4"/>
  <c r="L106" i="4"/>
  <c r="N106" i="4"/>
  <c r="O74" i="4"/>
  <c r="L115" i="4"/>
  <c r="L99" i="4"/>
  <c r="L83" i="4"/>
  <c r="L67" i="4"/>
  <c r="P67" i="4" s="1"/>
  <c r="L51" i="4"/>
  <c r="M115" i="4"/>
  <c r="M99" i="4"/>
  <c r="M83" i="4"/>
  <c r="M67" i="4"/>
  <c r="M51" i="4"/>
  <c r="N115" i="4"/>
  <c r="N99" i="4"/>
  <c r="N83" i="4"/>
  <c r="N67" i="4"/>
  <c r="N51" i="4"/>
  <c r="O115" i="4"/>
  <c r="O99" i="4"/>
  <c r="O83" i="4"/>
  <c r="O67" i="4"/>
  <c r="O51" i="4"/>
  <c r="N37" i="4"/>
  <c r="N47" i="4"/>
  <c r="P47" i="4" s="1"/>
  <c r="L62" i="4"/>
  <c r="O78" i="4"/>
  <c r="L93" i="4"/>
  <c r="L61" i="4"/>
  <c r="N108" i="4"/>
  <c r="M74" i="4"/>
  <c r="N58" i="4"/>
  <c r="L114" i="4"/>
  <c r="L98" i="4"/>
  <c r="L82" i="4"/>
  <c r="L66" i="4"/>
  <c r="L50" i="4"/>
  <c r="M114" i="4"/>
  <c r="M98" i="4"/>
  <c r="M82" i="4"/>
  <c r="M66" i="4"/>
  <c r="M50" i="4"/>
  <c r="N114" i="4"/>
  <c r="N98" i="4"/>
  <c r="N82" i="4"/>
  <c r="N66" i="4"/>
  <c r="N50" i="4"/>
  <c r="O114" i="4"/>
  <c r="O98" i="4"/>
  <c r="O82" i="4"/>
  <c r="O66" i="4"/>
  <c r="O50" i="4"/>
  <c r="O37" i="4"/>
  <c r="O79" i="4"/>
  <c r="L42" i="4"/>
  <c r="O42" i="4"/>
  <c r="L100" i="4"/>
  <c r="L113" i="4"/>
  <c r="L97" i="4"/>
  <c r="L81" i="4"/>
  <c r="L65" i="4"/>
  <c r="M113" i="4"/>
  <c r="M97" i="4"/>
  <c r="M81" i="4"/>
  <c r="M65" i="4"/>
  <c r="N113" i="4"/>
  <c r="N97" i="4"/>
  <c r="N81" i="4"/>
  <c r="N65" i="4"/>
  <c r="O113" i="4"/>
  <c r="O97" i="4"/>
  <c r="O81" i="4"/>
  <c r="O65" i="4"/>
  <c r="B65" i="4"/>
  <c r="B66" i="4" s="1"/>
  <c r="E65" i="4"/>
  <c r="E66" i="4" s="1"/>
  <c r="E49" i="4"/>
  <c r="D48" i="4"/>
  <c r="C48" i="4"/>
  <c r="C49" i="4"/>
  <c r="D49" i="4"/>
  <c r="E48" i="4"/>
  <c r="B48" i="4"/>
  <c r="B49" i="4"/>
  <c r="P45" i="4" l="1"/>
  <c r="P50" i="4"/>
  <c r="P112" i="4"/>
  <c r="P39" i="4"/>
  <c r="C81" i="4"/>
  <c r="C82" i="4"/>
  <c r="P49" i="4"/>
  <c r="P117" i="4"/>
  <c r="P71" i="4"/>
  <c r="P95" i="4"/>
  <c r="C96" i="4"/>
  <c r="C97" i="4"/>
  <c r="E96" i="4"/>
  <c r="E97" i="4"/>
  <c r="P42" i="4"/>
  <c r="P85" i="4"/>
  <c r="P90" i="4"/>
  <c r="P111" i="4"/>
  <c r="B96" i="4"/>
  <c r="B97" i="4"/>
  <c r="B51" i="4"/>
  <c r="P106" i="4"/>
  <c r="B81" i="4"/>
  <c r="B82" i="4"/>
  <c r="E81" i="4"/>
  <c r="E82" i="4"/>
  <c r="P94" i="4"/>
  <c r="P69" i="4"/>
  <c r="P99" i="4"/>
  <c r="P79" i="4"/>
  <c r="D81" i="4"/>
  <c r="D82" i="4"/>
  <c r="P83" i="4"/>
  <c r="P109" i="4"/>
  <c r="P82" i="4"/>
  <c r="P63" i="4"/>
  <c r="P60" i="4"/>
  <c r="P80" i="4"/>
  <c r="D96" i="4"/>
  <c r="D97" i="4"/>
  <c r="E50" i="4"/>
  <c r="C69" i="4"/>
  <c r="P66" i="4"/>
  <c r="P115" i="4"/>
  <c r="P101" i="4"/>
  <c r="P55" i="4"/>
  <c r="P98" i="4"/>
  <c r="P87" i="4"/>
  <c r="P41" i="4"/>
  <c r="P103" i="4"/>
  <c r="P57" i="4"/>
  <c r="P76" i="4"/>
  <c r="P77" i="4"/>
  <c r="P107" i="4"/>
  <c r="P54" i="4"/>
  <c r="P73" i="4"/>
  <c r="P70" i="4"/>
  <c r="P38" i="4"/>
  <c r="P89" i="4"/>
  <c r="P58" i="4"/>
  <c r="P46" i="4"/>
  <c r="P78" i="4"/>
  <c r="P52" i="4"/>
  <c r="P86" i="4"/>
  <c r="P44" i="4"/>
  <c r="P105" i="4"/>
  <c r="P43" i="4"/>
  <c r="P65" i="4"/>
  <c r="P61" i="4"/>
  <c r="P68" i="4"/>
  <c r="P102" i="4"/>
  <c r="P59" i="4"/>
  <c r="P81" i="4"/>
  <c r="P93" i="4"/>
  <c r="P84" i="4"/>
  <c r="P118" i="4"/>
  <c r="P40" i="4"/>
  <c r="P91" i="4"/>
  <c r="P114" i="4"/>
  <c r="P116" i="4"/>
  <c r="P56" i="4"/>
  <c r="P113" i="4"/>
  <c r="P62" i="4"/>
  <c r="P72" i="4"/>
  <c r="P110" i="4"/>
  <c r="P97" i="4"/>
  <c r="P88" i="4"/>
  <c r="P74" i="4"/>
  <c r="P100" i="4"/>
  <c r="P51" i="4"/>
  <c r="P108" i="4"/>
  <c r="P104" i="4"/>
  <c r="P75" i="4"/>
  <c r="D50" i="4"/>
  <c r="E51" i="4"/>
  <c r="B67" i="4"/>
  <c r="C67" i="4"/>
  <c r="D67" i="4"/>
  <c r="E67" i="4"/>
  <c r="C50" i="4"/>
  <c r="D51" i="4"/>
  <c r="C51" i="4"/>
  <c r="B50" i="4"/>
  <c r="C85" i="4" l="1"/>
  <c r="C84" i="4"/>
  <c r="C100" i="4"/>
  <c r="C99" i="4"/>
  <c r="C55" i="4"/>
  <c r="C54" i="4"/>
  <c r="C70" i="4"/>
  <c r="B22" i="2" l="1"/>
  <c r="E28" i="2"/>
  <c r="C30" i="2"/>
  <c r="C27" i="2"/>
  <c r="C28" i="2" s="1"/>
  <c r="G28" i="2" s="1"/>
  <c r="E27" i="2"/>
</calcChain>
</file>

<file path=xl/sharedStrings.xml><?xml version="1.0" encoding="utf-8"?>
<sst xmlns="http://schemas.openxmlformats.org/spreadsheetml/2006/main" count="423" uniqueCount="311">
  <si>
    <t>A. 136.5</t>
  </si>
  <si>
    <t>B. 133.3</t>
  </si>
  <si>
    <t>C. 126.8</t>
  </si>
  <si>
    <t>D. 123.8</t>
  </si>
  <si>
    <t>год и закончится через два?</t>
  </si>
  <si>
    <t>A. 1%</t>
  </si>
  <si>
    <t>B. 2%</t>
  </si>
  <si>
    <t>C. 3%</t>
  </si>
  <si>
    <t>D. 4%</t>
  </si>
  <si>
    <t>A. 4%</t>
  </si>
  <si>
    <t>B. 3%</t>
  </si>
  <si>
    <t>C. 2%</t>
  </si>
  <si>
    <t>D. 1%</t>
  </si>
  <si>
    <t>// 1,000,000 * (1.0951 - 1.0950)</t>
  </si>
  <si>
    <t>// 130 * (1+0%/2) / (1+5%/2)</t>
  </si>
  <si>
    <t>// (4%*2 - 5%*1) / (2-1)</t>
  </si>
  <si>
    <t>// 50 + 40 - max(1800-1700,0) - max(1700 - 2000,0)</t>
  </si>
  <si>
    <t>// (3% - 2%) / (1 - 0.5)</t>
  </si>
  <si>
    <t>S</t>
  </si>
  <si>
    <t>T</t>
  </si>
  <si>
    <t>D</t>
  </si>
  <si>
    <t>T_D</t>
  </si>
  <si>
    <t>r</t>
  </si>
  <si>
    <t>Forward</t>
  </si>
  <si>
    <t>Today</t>
  </si>
  <si>
    <t>Maturity</t>
  </si>
  <si>
    <t>Cash</t>
  </si>
  <si>
    <t>Stock</t>
  </si>
  <si>
    <t>Borrow till maturity</t>
  </si>
  <si>
    <t>Borrow till div date</t>
  </si>
  <si>
    <t>Buy stock</t>
  </si>
  <si>
    <t>Synthetic forward</t>
  </si>
  <si>
    <t>Receive dividend</t>
  </si>
  <si>
    <t>In total at maturity we own a stock and must pay 974.69</t>
  </si>
  <si>
    <t>K</t>
  </si>
  <si>
    <t>q</t>
  </si>
  <si>
    <t>𝑆2 = $100, 𝑆3 = $130.</t>
  </si>
  <si>
    <t>sigma</t>
  </si>
  <si>
    <t>K1</t>
  </si>
  <si>
    <t>K2</t>
  </si>
  <si>
    <t>K3</t>
  </si>
  <si>
    <t>K4</t>
  </si>
  <si>
    <t>S1</t>
  </si>
  <si>
    <t>S2</t>
  </si>
  <si>
    <t>S3</t>
  </si>
  <si>
    <t>d1</t>
  </si>
  <si>
    <t>d2</t>
  </si>
  <si>
    <t>B-S Call</t>
  </si>
  <si>
    <t>Quantity</t>
  </si>
  <si>
    <t>Call-80</t>
  </si>
  <si>
    <t>Call-85</t>
  </si>
  <si>
    <t>Call-115</t>
  </si>
  <si>
    <t>Call-120</t>
  </si>
  <si>
    <t>Buy 1</t>
  </si>
  <si>
    <t>Sell 1</t>
  </si>
  <si>
    <t>B-S Put</t>
  </si>
  <si>
    <t>Condor via 4 calls</t>
  </si>
  <si>
    <t>Condor via 4 puts</t>
  </si>
  <si>
    <t>Qunatity</t>
  </si>
  <si>
    <t>Puts</t>
  </si>
  <si>
    <t>Calls</t>
  </si>
  <si>
    <t>Put-80</t>
  </si>
  <si>
    <t>Put-85</t>
  </si>
  <si>
    <t>Put-115</t>
  </si>
  <si>
    <t>Put-120</t>
  </si>
  <si>
    <t>Condor is combination of 4 calls (or 4 puts). Any strategy is fine if final PV is correct</t>
  </si>
  <si>
    <t>Call Strike</t>
  </si>
  <si>
    <t>Spot</t>
  </si>
  <si>
    <t>Total</t>
  </si>
  <si>
    <t>Condor Payoff</t>
  </si>
  <si>
    <t>Scenario #1, S=70</t>
  </si>
  <si>
    <t>Call Delta</t>
  </si>
  <si>
    <t>Call Vega</t>
  </si>
  <si>
    <t>Condor B-S Delta</t>
  </si>
  <si>
    <t>Condor B-S Vega</t>
  </si>
  <si>
    <t>Scenario #2, S=100</t>
  </si>
  <si>
    <t>// USD per 1% change in vol. It is OK to give answer as 4.21 (not scaled)</t>
  </si>
  <si>
    <t>// USD per 1% change in vol. It is OK to give answer as 11.4 (not scaled)</t>
  </si>
  <si>
    <t>// USD per 1% change in vol. It is OK to give answer as 3.46 (not scaled)</t>
  </si>
  <si>
    <t>Scenario #3, S=130</t>
  </si>
  <si>
    <t>N</t>
  </si>
  <si>
    <t>USD Cash</t>
  </si>
  <si>
    <t>EUR Cash</t>
  </si>
  <si>
    <t>Puts-1.05</t>
  </si>
  <si>
    <t>1. Sell puts-1.05</t>
  </si>
  <si>
    <t>Rate improvement</t>
  </si>
  <si>
    <t>Puts to sell</t>
  </si>
  <si>
    <t>Premium</t>
  </si>
  <si>
    <t>USD return</t>
  </si>
  <si>
    <t>USD rate</t>
  </si>
  <si>
    <t>&lt;-- This is fair x%, we can earn this much in DCD</t>
  </si>
  <si>
    <t>Maturity, S(T)&gt;1.05</t>
  </si>
  <si>
    <t>Maturity, S*(T) &lt;=1.05</t>
  </si>
  <si>
    <t>2. Invest USD at 4%</t>
  </si>
  <si>
    <t>3. Exercise the option</t>
  </si>
  <si>
    <t>4. Total</t>
  </si>
  <si>
    <t>&lt;-- We can invest this much of USD at r% in addition to original 100,000</t>
  </si>
  <si>
    <t>c</t>
  </si>
  <si>
    <t>T1</t>
  </si>
  <si>
    <t>T2</t>
  </si>
  <si>
    <t>T3</t>
  </si>
  <si>
    <t>The note is equivalent to</t>
  </si>
  <si>
    <t>0. Invest part of the notional at risk-free rate</t>
  </si>
  <si>
    <t>Digital Call</t>
  </si>
  <si>
    <t>Body investment</t>
  </si>
  <si>
    <t>Coupon</t>
  </si>
  <si>
    <t>Free cash</t>
  </si>
  <si>
    <t># of Digitals</t>
  </si>
  <si>
    <t>Per 1 digital structure</t>
  </si>
  <si>
    <t>&lt;--- We can spend this much on digital options</t>
  </si>
  <si>
    <t>Fair coupon x%</t>
  </si>
  <si>
    <t>3Y</t>
  </si>
  <si>
    <t>1Y</t>
  </si>
  <si>
    <t>2Y</t>
  </si>
  <si>
    <t>1. Invest appropriate amount for 1, 2, 3 years</t>
  </si>
  <si>
    <t>0. Receive cash from investor</t>
  </si>
  <si>
    <t>Initial deposit</t>
  </si>
  <si>
    <t>S(T)</t>
  </si>
  <si>
    <t>Payments in 1Y depending on stock price</t>
  </si>
  <si>
    <t>Payments in 2Y depending on stock price</t>
  </si>
  <si>
    <t>Payments in 3Y depending on stock price</t>
  </si>
  <si>
    <t>Future</t>
  </si>
  <si>
    <t>&lt;--- We need this much USD today to pay coupon 3% in 1 year</t>
  </si>
  <si>
    <t>&lt;--- We need this much USD today to pay coupon 3% in 2 years</t>
  </si>
  <si>
    <t>g</t>
  </si>
  <si>
    <t>R</t>
  </si>
  <si>
    <t>N, USD</t>
  </si>
  <si>
    <t>dr</t>
  </si>
  <si>
    <t>P(default)</t>
  </si>
  <si>
    <t>Hazard rate</t>
  </si>
  <si>
    <t>&lt;--- S(T) = 1 - PD(T) = exp(-lambda*T)</t>
  </si>
  <si>
    <t>Discount</t>
  </si>
  <si>
    <t>Interval PD</t>
  </si>
  <si>
    <t>Buyer PV</t>
  </si>
  <si>
    <t>Seller PV</t>
  </si>
  <si>
    <t>Fair coupon</t>
  </si>
  <si>
    <t>1. Step 1: compute fair swap coupon</t>
  </si>
  <si>
    <t>2. Step 2: Assume that corporate yield is higher</t>
  </si>
  <si>
    <t>c+dr</t>
  </si>
  <si>
    <t>New coupon</t>
  </si>
  <si>
    <t>In case we sold at old coupon…</t>
  </si>
  <si>
    <t>// Client</t>
  </si>
  <si>
    <t>// We</t>
  </si>
  <si>
    <t>New bond price</t>
  </si>
  <si>
    <t>Swap PV for us</t>
  </si>
  <si>
    <t>&lt;--- Percentage of bond notional</t>
  </si>
  <si>
    <t>Original bond price</t>
  </si>
  <si>
    <t>Bond price change</t>
  </si>
  <si>
    <t>Bond notional</t>
  </si>
  <si>
    <t># Bonds to hedge</t>
  </si>
  <si>
    <t xml:space="preserve">&lt;--- If we sold this number of bonds, then growth in short bond position would offset loss in swap </t>
  </si>
  <si>
    <t>Buyer</t>
  </si>
  <si>
    <t>Seller</t>
  </si>
  <si>
    <t>&lt;--- We receive less coupons from client than what we pay</t>
  </si>
  <si>
    <t>&lt;--- We need this much USD today to pay coupon 3% in 3 years</t>
  </si>
  <si>
    <t>Dividend date</t>
  </si>
  <si>
    <t>1. A market-maker is trading in the euro-dollar (EURUSD) currency pair. He</t>
  </si>
  <si>
    <t>bought 1 000 000 euros from one client at 1.0950 (1 euro isworth 1.0950 dollars)</t>
  </si>
  <si>
    <t>and, milliseconds later, sold 1 000 000 euros to another client at 1.0951. How</t>
  </si>
  <si>
    <t>much did the market-maker earn?</t>
  </si>
  <si>
    <t>A. 100 dollars</t>
  </si>
  <si>
    <t>B. 100 euros</t>
  </si>
  <si>
    <t>C. 200 dollars</t>
  </si>
  <si>
    <t>D. 200 euros</t>
  </si>
  <si>
    <t>2. Dollar-yen (USDJPY) spot exchange rate is 130 (1 dollar is worth 130 yen).</t>
  </si>
  <si>
    <t>Interest rates are 5% in dollars and 0% in yen (both rates are simple interest</t>
  </si>
  <si>
    <t>rates without compounding). What is fair forward rate for a contract with</t>
  </si>
  <si>
    <t>delivery in six months (𝑇 = 0.5)?</t>
  </si>
  <si>
    <t>3. A 1-year deposit yields 5% per annum, and a 2-year deposit yields 4% per</t>
  </si>
  <si>
    <t>annum (both rates are continuously compounded). What is fair rate for a</t>
  </si>
  <si>
    <t>forward ("deferred") deposit that starts in 1 year and ends in 2 years?</t>
  </si>
  <si>
    <t>4. Why is the ESTER interest rate usually lower than the EURIBOR-3M rate?</t>
  </si>
  <si>
    <t>B. ESTER is published with a 1-day lag.</t>
  </si>
  <si>
    <t>5. December EURIBOR futures are priced at 96.0. A trader has bought one</t>
  </si>
  <si>
    <t>such futures contract. In which case will the trader make a profit on his bet?</t>
  </si>
  <si>
    <t>A. If and only if EURIBOR is above 0.96% in December</t>
  </si>
  <si>
    <t>B. If and only if EURIBOR is above 4.0% in December</t>
  </si>
  <si>
    <t>C. If and only if EURIBOR is below 0.96% in December</t>
  </si>
  <si>
    <t>D. If and only if EURIBOR is below 4.0% in December</t>
  </si>
  <si>
    <t>6. A large bank pegged its employees’ ruble salaries to the dollar exchange</t>
  </si>
  <si>
    <t>rate. Suppose an employment contract specifies a salary of 100 000 rubles. If</t>
  </si>
  <si>
    <t>at the end of the month, the dollar-ruble (USDRUB) rate is 80 or lower, the</t>
  </si>
  <si>
    <t>employee receives 100 000 rubles. If the rate is higher than 80 and equals</t>
  </si>
  <si>
    <t>𝑋, the employee receives 𝑋/80 ⋅ 100 000 rubles. What does the employee’s</t>
  </si>
  <si>
    <t>position resemble?</t>
  </si>
  <si>
    <t>A. Bought USDRUB call option at strike 80</t>
  </si>
  <si>
    <t>B. Bought USDRUB put option at strike 80</t>
  </si>
  <si>
    <t>C. Sold USDRUB call option at strike 80</t>
  </si>
  <si>
    <t>D. Sold USDRUB put option at strike 80</t>
  </si>
  <si>
    <t>7. A trader sold a European vanilla put option on gold at strike $1 800 for a</t>
  </si>
  <si>
    <t>premium of $50 and sold a European vanilla call option at strike $2 000 for a</t>
  </si>
  <si>
    <t>premium of $40. At the time of expiration, gold is priced at $1 700 per ounce.</t>
  </si>
  <si>
    <t>What is total profit or loss for the trader? Ignore interest on the received</t>
  </si>
  <si>
    <t>premium.</t>
  </si>
  <si>
    <t>A. Lost $100</t>
  </si>
  <si>
    <t>B. Lost $10</t>
  </si>
  <si>
    <t>C. Earned $10</t>
  </si>
  <si>
    <t>D. Earned $100</t>
  </si>
  <si>
    <t>8. Junior trader Artem bought a European call option on the dollar-ruble</t>
  </si>
  <si>
    <t>currency pair on December 31. The market then closed for the New Year</t>
  </si>
  <si>
    <t>holidays (which are longer than aweek in Russia). During holidays neither the</t>
  </si>
  <si>
    <t>exchange rate, nor volatility, nor interest rates were changing. Nevertheless,</t>
  </si>
  <si>
    <t>the risk system, which operates 24x7, was showing Artem that his option</t>
  </si>
  <si>
    <t>A. Delta</t>
  </si>
  <si>
    <t>B. Gamma</t>
  </si>
  <si>
    <t>C. Theta</t>
  </si>
  <si>
    <t>D. Vega</t>
  </si>
  <si>
    <t>9. A 1-year zero-coupon bond of a large Frankfurt-based bank yields 4%. A</t>
  </si>
  <si>
    <t>similar risk-free 1-year zero-coupon German government bond yields 3%. In</t>
  </si>
  <si>
    <t>the event of the bank’s bankruptcy, the recovery rate is 50%. What is implied</t>
  </si>
  <si>
    <t>probability of the bank’s default?</t>
  </si>
  <si>
    <t>10. Why does the Monte Carlo method estimate fair value of a derivative more</t>
  </si>
  <si>
    <t>accurately when we increase the number of simulations?</t>
  </si>
  <si>
    <t>A. The more frequent the delta-hedging, the more accurate the replication.</t>
  </si>
  <si>
    <t>B. This is a property of the Black-Scholes model.</t>
  </si>
  <si>
    <t>C. This is stated in the fundamental theorem of asset pricing.</t>
  </si>
  <si>
    <t>D. It is guaranteed by the central limit theorem.</t>
  </si>
  <si>
    <t>C. ESTER is the rate for 1-day loans, which are less risky than 3-months loans, as in EURIBOR.</t>
  </si>
  <si>
    <t>D. The panel of banks that determine EURIBOR includes banks from outside the Eurozone.</t>
  </si>
  <si>
    <t>A. ESTER is the rate for securities-backed loans, while EURIBOR is for unsecured loans.</t>
  </si>
  <si>
    <t>2.1 A Forward with Dividends</t>
  </si>
  <si>
    <t>During the first lecture we derived the fair forward rate formula under the</t>
  </si>
  <si>
    <t>assumption that the underlying asset is a currency that is earning some interest</t>
  </si>
  <si>
    <t>rate. In this problem, we will explore how to handle assets that pay discrete</t>
  </si>
  <si>
    <t>dividends.</t>
  </si>
  <si>
    <t>A preferred stock is priced in the market at 𝑆 = $1 000. In exactly 𝑇𝐷 = 0.25</t>
  </si>
  <si>
    <t>years from now, it will pay a fixed dividend of 𝐷 = $50, and this will be</t>
  </si>
  <si>
    <t>the only dividend payment. Risk-free interest rate is 𝑟 = 5% (continuous</t>
  </si>
  <si>
    <t>compounding). Let’s consider a forward contract on this stock with delivery</t>
  </si>
  <si>
    <t>in 𝑇 = 0.5 years. What is fair forward rate (forward price) 𝐹?</t>
  </si>
  <si>
    <t>Hint: Consider two ways to obtain the stock in six months. Firstly, you</t>
  </si>
  <si>
    <t>can immediately enter into a forward contract. Secondly, you can borrow</t>
  </si>
  <si>
    <t>money now and use it to buy the stock. When the stock pays dividends, you</t>
  </si>
  <si>
    <t>can use these dividends to repay part of the loan.</t>
  </si>
  <si>
    <t>2.2 Condor</t>
  </si>
  <si>
    <t>A condor is combination of options that resembles a stretched butterfly (hence</t>
  </si>
  <si>
    <t>the name, as the condor is a large bird). Figure 1 shows payoff of a condor.</t>
  </si>
  <si>
    <t>A condor is determined by 4 strikes 𝐾1 &lt; 𝐾2 &lt; 𝐾3 &lt; 𝐾4, such that 𝐾2 − 𝐾1 =</t>
  </si>
  <si>
    <t>𝐾4 − 𝐾3. Payoff of a condor depending on the underlying asset price at</t>
  </si>
  <si>
    <t>expiration 𝑆(𝑇 ) is given by</t>
  </si>
  <si>
    <t>Describe how to replicate a condor using vanilla options. Assume that</t>
  </si>
  <si>
    <t>we are in the Black-Scholes world. A non-dividend paying stock is priced</t>
  </si>
  <si>
    <t>at 𝑆 = $100. Volatility of the stock is 𝜎 = 20%, and risk-free rate is 𝑟 = 2%</t>
  </si>
  <si>
    <t>(continuous compounding). What is the price of a condor with a maturity of</t>
  </si>
  <si>
    <t>𝑇 = 1 year and strikes 𝐾1 = $80, 𝐾2 = $85, 𝐾3 = $115, 𝐾4 = $120?</t>
  </si>
  <si>
    <t>Calculate Delta and Vega of such a condor in three scenarios: 𝑆1 = $70,</t>
  </si>
  <si>
    <t>2.3 Dual Currency Deposit</t>
  </si>
  <si>
    <t>A dual currency deposit (DCD) is a deposit where the investor earns an</t>
  </si>
  <si>
    <t>enhanced interest rate but may sometimes receive back the principal amount</t>
  </si>
  <si>
    <t>in a different currency.</t>
  </si>
  <si>
    <t>Let’s assume an investor deposits 𝑁 = 100 000 dollars into a bank for a</t>
  </si>
  <si>
    <t>term of 𝑇 = 1 year. If, after a year, the spot exchange rate of the euro-dollar</t>
  </si>
  <si>
    <t>currency pair is above the barrier 𝐾 = 1.05, the investor will receive back</t>
  </si>
  <si>
    <t>their dollars plus an enhanced interest rate of 𝑥% (simple interest without</t>
  </si>
  <si>
    <t>compounding). However, if the euro-dollar pair falls below the barrier, the</t>
  </si>
  <si>
    <t>bank will pay the same 𝑥% ⋅ 100 000 dollars in interest, but will return 95 238</t>
  </si>
  <si>
    <t>euros (calculated as 100 000/1.05) rather than the invested principal amount</t>
  </si>
  <si>
    <t>$100 000. Table 1 illustrates these two scenarios.</t>
  </si>
  <si>
    <t>Come up with a way to replicate a DCD using deposits and/or loans at the</t>
  </si>
  <si>
    <t>risk-free rate and/or vanilla and/or digital options.</t>
  </si>
  <si>
    <t>In the Black-Scholes model, EURUSD spot rate is 𝑆 = 1.10 (1 euro is worth</t>
  </si>
  <si>
    <t>1.10 dollars), volatility is 𝜎 = 10%, risk-free rate in dollars is 𝑟 = 4%, and</t>
  </si>
  <si>
    <t>in euros it is 𝑞 = 2% (both rates are continuously compounded). Consider</t>
  </si>
  <si>
    <t>a dual currency deposit with a barrier of 𝐾 = 1.05 for 𝑇 = 1 year. What is</t>
  </si>
  <si>
    <t>fair enhanced rate 𝑥% for this dual currency deposit (simple interest without</t>
  </si>
  <si>
    <t>compounding)?</t>
  </si>
  <si>
    <t>2.4 Structured Note</t>
  </si>
  <si>
    <t>Consider a structured note with a variable coupon. An investor invests a</t>
  </si>
  <si>
    <t>principal amount of 𝑁 = $100 000. After 𝑇 = 3 years, the investor will receive</t>
  </si>
  <si>
    <t>back the entire principal amount. The note pays annual coupons at the end</t>
  </si>
  <si>
    <t>of the first, second, and third years. The size of each coupon depends on the</t>
  </si>
  <si>
    <t>price of the underlying asset, the S&amp;P 500 index.</t>
  </si>
  <si>
    <t>If the index is at or below 𝐾1 = $3 700 on the coupon date, the coupon is</t>
  </si>
  <si>
    <t>𝑐 = 3% of the principal (i.e., $3 000). If the index is at or above 𝐾2 = $4 300,</t>
  </si>
  <si>
    <t>the coupon is also 3%. However, if the index is between $3 700 and $4 300, the</t>
  </si>
  <si>
    <t>enhanced coupon is 𝑥% of the principal. This 𝑥% is a contract parameter that</t>
  </si>
  <si>
    <t>you need to compute. These three scenarios are presented in the table 2.</t>
  </si>
  <si>
    <t>Come up with a way to replicate such a note using deposits and/or loans</t>
  </si>
  <si>
    <t>at the risk-free rate and/or vanilla options and/or digital options.</t>
  </si>
  <si>
    <t>Assume that in the Black-Scholes world current index price is 𝑆 = $4 000,</t>
  </si>
  <si>
    <t>volatility of the index is 𝜎 = 25%, risk-free rate is 𝑟 = 4%, dividend yield is</t>
  </si>
  <si>
    <t>𝑞 = 2% (both rates are continuously compounded). What is fair enhanced</t>
  </si>
  <si>
    <t>coupon rate 𝑥%?</t>
  </si>
  <si>
    <t>&lt;--- We need this much USD today to repay the notional in 3 years</t>
  </si>
  <si>
    <t>2.5 Hedging a Credit Default Swap</t>
  </si>
  <si>
    <t>A risk-free government zero-coupon bond with a maturity of 𝑇 = 5 years</t>
  </si>
  <si>
    <t>has a yield of 𝑔 = 4% (annual compounding). The yield on a risky corporate</t>
  </si>
  <si>
    <t>zero-coupon bond with the same maturity is 𝑐 = 6%. In the event of default on</t>
  </si>
  <si>
    <t>the corporate bond, recovery rate is 𝑅 = 40%, and the payout of the residual</t>
  </si>
  <si>
    <t>value will occur on the original maturity date.</t>
  </si>
  <si>
    <t>Consider a 5-year credit default swap in which coupons are paid annually.</t>
  </si>
  <si>
    <t>In the event of default, the insurance payment will occur on the following</t>
  </si>
  <si>
    <t>coupon date. There is no payment of the accrued coupon.</t>
  </si>
  <si>
    <t>Calculate fair coupon in such a swap. Please do not neglect discounting.</t>
  </si>
  <si>
    <t>We sold such a swap with a notional amount of 𝑁 = $1 000 000 to a client</t>
  </si>
  <si>
    <t>at a fair price. At the time of the transaction, its present value is zero. Let’s</t>
  </si>
  <si>
    <t>examine our market risk and how to manage it.</t>
  </si>
  <si>
    <t>Assume that the yield on the corporate bond has increased by 𝑑𝑟 = 0.01%</t>
  </si>
  <si>
    <t>(1 basis point). What is fair coupon in the credit swap now (it will change</t>
  </si>
  <si>
    <t>because default probability has changed)? If we receive the old coupon from</t>
  </si>
  <si>
    <t>the client, and the default probability has increased, how much did we earn or</t>
  </si>
  <si>
    <t>lose (i.e., what is our new present value, considering that the initial PV was</t>
  </si>
  <si>
    <t>$0)?</t>
  </si>
  <si>
    <t>Now calculate how the price of the corporate bond has changed with the</t>
  </si>
  <si>
    <t>increase in yield by 𝑑𝑟 = 0.01%. How many bonds would we need to buy or</t>
  </si>
  <si>
    <t>sell at the very beginning, when the yield had not yet had time to change, so</t>
  </si>
  <si>
    <t>that the total profit from the position in the swap and the bond in the event</t>
  </si>
  <si>
    <t>of an increase in yield by 𝑑𝑟 would be zero? Assume that face value of the</t>
  </si>
  <si>
    <t>corporate bond is $1.</t>
  </si>
  <si>
    <t>was constantly depreciating and generating losses. What risk unexpectedly</t>
  </si>
  <si>
    <t>hurt Artem?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</si>
</sst>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#,##0.0000"/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4" fontId="0" fillId="4" borderId="0" xfId="0" applyNumberFormat="1" applyFill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10" fontId="0" fillId="4" borderId="0" xfId="0" applyNumberFormat="1" applyFill="1"/>
    <xf numFmtId="164" fontId="0" fillId="4" borderId="0" xfId="0" applyNumberFormat="1" applyFill="1"/>
    <xf numFmtId="0" fontId="0" fillId="0" borderId="0" xfId="0" quotePrefix="1"/>
    <xf numFmtId="3" fontId="0" fillId="4" borderId="0" xfId="0" applyNumberFormat="1" applyFill="1"/>
    <xf numFmtId="10" fontId="0" fillId="0" borderId="0" xfId="1" applyNumberFormat="1" applyFont="1"/>
    <xf numFmtId="167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Problem2!$P$37</c:f>
              <c:strCache>
                <c:ptCount val="1"/>
                <c:pt idx="0">
                  <c:v>Condor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Problem2!$K$38:$K$118</c:f>
              <c:numCache>
                <c:formatCode>General</c:formatCode>
                <c:ptCount val="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</c:numCache>
            </c:numRef>
          </c:xVal>
          <c:yVal>
            <c:numRef>
              <c:f>Problem2!$P$38:$P$118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44B6-8ABE-FAD78B9B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77248"/>
        <c:axId val="1685776768"/>
      </c:scatterChart>
      <c:valAx>
        <c:axId val="1685777248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76768"/>
        <c:crosses val="autoZero"/>
        <c:crossBetween val="midCat"/>
      </c:valAx>
      <c:valAx>
        <c:axId val="1685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37</xdr:row>
      <xdr:rowOff>120650</xdr:rowOff>
    </xdr:from>
    <xdr:to>
      <xdr:col>22</xdr:col>
      <xdr:colOff>400050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4E52A-D802-BDBD-DB55-CDB12462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57150</xdr:colOff>
      <xdr:row>19</xdr:row>
      <xdr:rowOff>105586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B28598-7BBD-58E4-90FF-535B1A09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3105150" cy="2499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2A6E-E45E-4CD4-BA94-7BDA675F44DA}">
  <dimension ref="A1:I88"/>
  <sheetViews>
    <sheetView tabSelected="1" topLeftCell="A43" workbookViewId="0">
      <selection activeCell="A68" sqref="A68"/>
    </sheetView>
  </sheetViews>
  <sheetFormatPr defaultRowHeight="14.5" x14ac:dyDescent="0.35"/>
  <sheetData>
    <row r="1" spans="1:3" x14ac:dyDescent="0.35">
      <c r="A1" t="s">
        <v>156</v>
      </c>
    </row>
    <row r="2" spans="1:3" x14ac:dyDescent="0.35">
      <c r="A2" t="s">
        <v>157</v>
      </c>
    </row>
    <row r="3" spans="1:3" x14ac:dyDescent="0.35">
      <c r="A3" t="s">
        <v>158</v>
      </c>
    </row>
    <row r="4" spans="1:3" x14ac:dyDescent="0.35">
      <c r="A4" t="s">
        <v>159</v>
      </c>
    </row>
    <row r="5" spans="1:3" x14ac:dyDescent="0.35">
      <c r="A5" s="1" t="s">
        <v>160</v>
      </c>
      <c r="B5" s="1"/>
      <c r="C5" t="s">
        <v>13</v>
      </c>
    </row>
    <row r="6" spans="1:3" x14ac:dyDescent="0.35">
      <c r="A6" t="s">
        <v>161</v>
      </c>
    </row>
    <row r="7" spans="1:3" x14ac:dyDescent="0.35">
      <c r="A7" t="s">
        <v>162</v>
      </c>
    </row>
    <row r="8" spans="1:3" x14ac:dyDescent="0.35">
      <c r="A8" t="s">
        <v>163</v>
      </c>
    </row>
    <row r="10" spans="1:3" x14ac:dyDescent="0.35">
      <c r="A10" t="s">
        <v>164</v>
      </c>
    </row>
    <row r="11" spans="1:3" x14ac:dyDescent="0.35">
      <c r="A11" t="s">
        <v>165</v>
      </c>
    </row>
    <row r="12" spans="1:3" x14ac:dyDescent="0.35">
      <c r="A12" t="s">
        <v>166</v>
      </c>
    </row>
    <row r="13" spans="1:3" x14ac:dyDescent="0.35">
      <c r="A13" t="s">
        <v>167</v>
      </c>
    </row>
    <row r="14" spans="1:3" x14ac:dyDescent="0.35">
      <c r="A14" t="s">
        <v>0</v>
      </c>
    </row>
    <row r="15" spans="1:3" x14ac:dyDescent="0.35">
      <c r="A15" t="s">
        <v>1</v>
      </c>
    </row>
    <row r="16" spans="1:3" x14ac:dyDescent="0.35">
      <c r="A16" s="1" t="s">
        <v>2</v>
      </c>
      <c r="C16" t="s">
        <v>14</v>
      </c>
    </row>
    <row r="17" spans="1:9" x14ac:dyDescent="0.35">
      <c r="A17" t="s">
        <v>3</v>
      </c>
    </row>
    <row r="19" spans="1:9" x14ac:dyDescent="0.35">
      <c r="A19" t="s">
        <v>168</v>
      </c>
    </row>
    <row r="20" spans="1:9" x14ac:dyDescent="0.35">
      <c r="A20" t="s">
        <v>169</v>
      </c>
    </row>
    <row r="21" spans="1:9" x14ac:dyDescent="0.35">
      <c r="A21" t="s">
        <v>170</v>
      </c>
    </row>
    <row r="22" spans="1:9" x14ac:dyDescent="0.35">
      <c r="A22" t="s">
        <v>4</v>
      </c>
    </row>
    <row r="23" spans="1:9" x14ac:dyDescent="0.35">
      <c r="A23" t="s">
        <v>5</v>
      </c>
    </row>
    <row r="24" spans="1:9" x14ac:dyDescent="0.35">
      <c r="A24" t="s">
        <v>6</v>
      </c>
    </row>
    <row r="25" spans="1:9" x14ac:dyDescent="0.35">
      <c r="A25" s="1" t="s">
        <v>7</v>
      </c>
      <c r="C25" t="s">
        <v>15</v>
      </c>
    </row>
    <row r="26" spans="1:9" x14ac:dyDescent="0.35">
      <c r="A26" t="s">
        <v>8</v>
      </c>
    </row>
    <row r="28" spans="1:9" x14ac:dyDescent="0.35">
      <c r="A28" t="s">
        <v>171</v>
      </c>
    </row>
    <row r="29" spans="1:9" x14ac:dyDescent="0.35">
      <c r="A29" t="s">
        <v>219</v>
      </c>
    </row>
    <row r="30" spans="1:9" x14ac:dyDescent="0.35">
      <c r="A30" t="s">
        <v>172</v>
      </c>
    </row>
    <row r="31" spans="1:9" x14ac:dyDescent="0.35">
      <c r="A31" s="1" t="s">
        <v>217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t="s">
        <v>218</v>
      </c>
    </row>
    <row r="34" spans="1:5" x14ac:dyDescent="0.35">
      <c r="A34" t="s">
        <v>173</v>
      </c>
    </row>
    <row r="35" spans="1:5" x14ac:dyDescent="0.35">
      <c r="A35" t="s">
        <v>174</v>
      </c>
    </row>
    <row r="36" spans="1:5" x14ac:dyDescent="0.35">
      <c r="A36" t="s">
        <v>175</v>
      </c>
    </row>
    <row r="37" spans="1:5" x14ac:dyDescent="0.35">
      <c r="A37" t="s">
        <v>176</v>
      </c>
    </row>
    <row r="38" spans="1:5" x14ac:dyDescent="0.35">
      <c r="A38" t="s">
        <v>177</v>
      </c>
    </row>
    <row r="39" spans="1:5" x14ac:dyDescent="0.35">
      <c r="A39" s="1" t="s">
        <v>178</v>
      </c>
      <c r="B39" s="1"/>
      <c r="C39" s="1"/>
      <c r="D39" s="1"/>
      <c r="E39" s="1"/>
    </row>
    <row r="41" spans="1:5" x14ac:dyDescent="0.35">
      <c r="A41" t="s">
        <v>179</v>
      </c>
    </row>
    <row r="42" spans="1:5" x14ac:dyDescent="0.35">
      <c r="A42" t="s">
        <v>180</v>
      </c>
    </row>
    <row r="43" spans="1:5" x14ac:dyDescent="0.35">
      <c r="A43" t="s">
        <v>181</v>
      </c>
    </row>
    <row r="44" spans="1:5" x14ac:dyDescent="0.35">
      <c r="A44" t="s">
        <v>182</v>
      </c>
    </row>
    <row r="45" spans="1:5" x14ac:dyDescent="0.35">
      <c r="A45" t="s">
        <v>183</v>
      </c>
    </row>
    <row r="46" spans="1:5" x14ac:dyDescent="0.35">
      <c r="A46" t="s">
        <v>184</v>
      </c>
    </row>
    <row r="47" spans="1:5" x14ac:dyDescent="0.35">
      <c r="A47" s="1" t="s">
        <v>185</v>
      </c>
      <c r="B47" s="1"/>
      <c r="C47" s="1"/>
      <c r="D47" s="1"/>
    </row>
    <row r="48" spans="1:5" x14ac:dyDescent="0.35">
      <c r="A48" t="s">
        <v>186</v>
      </c>
    </row>
    <row r="49" spans="1:4" x14ac:dyDescent="0.35">
      <c r="A49" t="s">
        <v>187</v>
      </c>
    </row>
    <row r="50" spans="1:4" x14ac:dyDescent="0.35">
      <c r="A50" t="s">
        <v>188</v>
      </c>
    </row>
    <row r="52" spans="1:4" x14ac:dyDescent="0.35">
      <c r="A52" t="s">
        <v>189</v>
      </c>
    </row>
    <row r="53" spans="1:4" x14ac:dyDescent="0.35">
      <c r="A53" t="s">
        <v>190</v>
      </c>
    </row>
    <row r="54" spans="1:4" x14ac:dyDescent="0.35">
      <c r="A54" t="s">
        <v>191</v>
      </c>
    </row>
    <row r="55" spans="1:4" x14ac:dyDescent="0.35">
      <c r="A55" t="s">
        <v>192</v>
      </c>
    </row>
    <row r="56" spans="1:4" x14ac:dyDescent="0.35">
      <c r="A56" t="s">
        <v>193</v>
      </c>
    </row>
    <row r="57" spans="1:4" x14ac:dyDescent="0.35">
      <c r="A57" t="s">
        <v>194</v>
      </c>
    </row>
    <row r="58" spans="1:4" x14ac:dyDescent="0.35">
      <c r="A58" s="1" t="s">
        <v>195</v>
      </c>
      <c r="B58" s="1"/>
      <c r="D58" t="s">
        <v>16</v>
      </c>
    </row>
    <row r="59" spans="1:4" x14ac:dyDescent="0.35">
      <c r="A59" t="s">
        <v>196</v>
      </c>
    </row>
    <row r="60" spans="1:4" x14ac:dyDescent="0.35">
      <c r="A60" t="s">
        <v>197</v>
      </c>
    </row>
    <row r="62" spans="1:4" x14ac:dyDescent="0.35">
      <c r="A62" t="s">
        <v>198</v>
      </c>
    </row>
    <row r="63" spans="1:4" x14ac:dyDescent="0.35">
      <c r="A63" t="s">
        <v>199</v>
      </c>
    </row>
    <row r="64" spans="1:4" x14ac:dyDescent="0.35">
      <c r="A64" t="s">
        <v>200</v>
      </c>
    </row>
    <row r="65" spans="1:3" x14ac:dyDescent="0.35">
      <c r="A65" t="s">
        <v>201</v>
      </c>
    </row>
    <row r="66" spans="1:3" x14ac:dyDescent="0.35">
      <c r="A66" t="s">
        <v>202</v>
      </c>
    </row>
    <row r="67" spans="1:3" x14ac:dyDescent="0.35">
      <c r="A67" t="s">
        <v>309</v>
      </c>
    </row>
    <row r="68" spans="1:3" x14ac:dyDescent="0.35">
      <c r="A68" t="s">
        <v>310</v>
      </c>
    </row>
    <row r="69" spans="1:3" x14ac:dyDescent="0.35">
      <c r="A69" t="s">
        <v>203</v>
      </c>
    </row>
    <row r="70" spans="1:3" x14ac:dyDescent="0.35">
      <c r="A70" t="s">
        <v>204</v>
      </c>
    </row>
    <row r="71" spans="1:3" x14ac:dyDescent="0.35">
      <c r="A71" s="1" t="s">
        <v>205</v>
      </c>
    </row>
    <row r="72" spans="1:3" x14ac:dyDescent="0.35">
      <c r="A72" t="s">
        <v>206</v>
      </c>
    </row>
    <row r="74" spans="1:3" x14ac:dyDescent="0.35">
      <c r="A74" t="s">
        <v>207</v>
      </c>
    </row>
    <row r="75" spans="1:3" x14ac:dyDescent="0.35">
      <c r="A75" t="s">
        <v>208</v>
      </c>
    </row>
    <row r="76" spans="1:3" x14ac:dyDescent="0.35">
      <c r="A76" t="s">
        <v>209</v>
      </c>
    </row>
    <row r="77" spans="1:3" x14ac:dyDescent="0.35">
      <c r="A77" t="s">
        <v>210</v>
      </c>
    </row>
    <row r="78" spans="1:3" x14ac:dyDescent="0.35">
      <c r="A78" t="s">
        <v>9</v>
      </c>
    </row>
    <row r="79" spans="1:3" x14ac:dyDescent="0.35">
      <c r="A79" t="s">
        <v>10</v>
      </c>
    </row>
    <row r="80" spans="1:3" x14ac:dyDescent="0.35">
      <c r="A80" s="1" t="s">
        <v>11</v>
      </c>
      <c r="C80" t="s">
        <v>17</v>
      </c>
    </row>
    <row r="81" spans="1:6" x14ac:dyDescent="0.35">
      <c r="A81" t="s">
        <v>12</v>
      </c>
    </row>
    <row r="83" spans="1:6" x14ac:dyDescent="0.35">
      <c r="A83" t="s">
        <v>211</v>
      </c>
    </row>
    <row r="84" spans="1:6" x14ac:dyDescent="0.35">
      <c r="A84" t="s">
        <v>212</v>
      </c>
    </row>
    <row r="85" spans="1:6" x14ac:dyDescent="0.35">
      <c r="A85" t="s">
        <v>213</v>
      </c>
    </row>
    <row r="86" spans="1:6" x14ac:dyDescent="0.35">
      <c r="A86" t="s">
        <v>214</v>
      </c>
    </row>
    <row r="87" spans="1:6" x14ac:dyDescent="0.35">
      <c r="A87" t="s">
        <v>215</v>
      </c>
    </row>
    <row r="88" spans="1:6" x14ac:dyDescent="0.35">
      <c r="A88" s="1" t="s">
        <v>216</v>
      </c>
      <c r="B88" s="1"/>
      <c r="C88" s="1"/>
      <c r="D88" s="1"/>
      <c r="E88" s="1"/>
      <c r="F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BCBD-796F-44C5-A4F6-CEA4B885A3E0}">
  <dimension ref="A1:H32"/>
  <sheetViews>
    <sheetView workbookViewId="0">
      <selection activeCell="B22" sqref="B22"/>
    </sheetView>
  </sheetViews>
  <sheetFormatPr defaultRowHeight="14.5" x14ac:dyDescent="0.35"/>
  <sheetData>
    <row r="1" spans="1:2" x14ac:dyDescent="0.35">
      <c r="A1" t="s">
        <v>220</v>
      </c>
    </row>
    <row r="2" spans="1:2" x14ac:dyDescent="0.35">
      <c r="A2" t="s">
        <v>221</v>
      </c>
    </row>
    <row r="3" spans="1:2" x14ac:dyDescent="0.35">
      <c r="A3" t="s">
        <v>222</v>
      </c>
    </row>
    <row r="4" spans="1:2" x14ac:dyDescent="0.35">
      <c r="A4" t="s">
        <v>223</v>
      </c>
    </row>
    <row r="5" spans="1:2" x14ac:dyDescent="0.35">
      <c r="A5" t="s">
        <v>224</v>
      </c>
    </row>
    <row r="6" spans="1:2" x14ac:dyDescent="0.35">
      <c r="A6" t="s">
        <v>225</v>
      </c>
    </row>
    <row r="7" spans="1:2" x14ac:dyDescent="0.35">
      <c r="A7" t="s">
        <v>226</v>
      </c>
    </row>
    <row r="8" spans="1:2" x14ac:dyDescent="0.35">
      <c r="A8" t="s">
        <v>227</v>
      </c>
    </row>
    <row r="9" spans="1:2" x14ac:dyDescent="0.35">
      <c r="A9" t="s">
        <v>228</v>
      </c>
    </row>
    <row r="10" spans="1:2" x14ac:dyDescent="0.35">
      <c r="A10" t="s">
        <v>229</v>
      </c>
    </row>
    <row r="11" spans="1:2" x14ac:dyDescent="0.35">
      <c r="A11" t="s">
        <v>230</v>
      </c>
    </row>
    <row r="12" spans="1:2" x14ac:dyDescent="0.35">
      <c r="A12" t="s">
        <v>231</v>
      </c>
    </row>
    <row r="13" spans="1:2" x14ac:dyDescent="0.35">
      <c r="A13" t="s">
        <v>232</v>
      </c>
    </row>
    <row r="14" spans="1:2" x14ac:dyDescent="0.35">
      <c r="A14" t="s">
        <v>233</v>
      </c>
    </row>
    <row r="16" spans="1:2" x14ac:dyDescent="0.35">
      <c r="A16" t="s">
        <v>18</v>
      </c>
      <c r="B16" s="5">
        <v>1000</v>
      </c>
    </row>
    <row r="17" spans="1:8" x14ac:dyDescent="0.35">
      <c r="A17" t="s">
        <v>19</v>
      </c>
      <c r="B17" s="6">
        <v>0.5</v>
      </c>
    </row>
    <row r="18" spans="1:8" x14ac:dyDescent="0.35">
      <c r="A18" t="s">
        <v>20</v>
      </c>
      <c r="B18" s="6">
        <v>50</v>
      </c>
    </row>
    <row r="19" spans="1:8" x14ac:dyDescent="0.35">
      <c r="A19" t="s">
        <v>21</v>
      </c>
      <c r="B19" s="6">
        <v>0.25</v>
      </c>
    </row>
    <row r="20" spans="1:8" x14ac:dyDescent="0.35">
      <c r="A20" t="s">
        <v>22</v>
      </c>
      <c r="B20" s="7">
        <v>0.05</v>
      </c>
    </row>
    <row r="22" spans="1:8" x14ac:dyDescent="0.35">
      <c r="A22" t="s">
        <v>23</v>
      </c>
      <c r="B22" s="8">
        <f>B16*EXP(B20*B17) - B18*EXP(B20*(B17-B19))</f>
        <v>974.6861979473972</v>
      </c>
    </row>
    <row r="24" spans="1:8" x14ac:dyDescent="0.35">
      <c r="A24" t="s">
        <v>31</v>
      </c>
    </row>
    <row r="25" spans="1:8" x14ac:dyDescent="0.35">
      <c r="C25" t="s">
        <v>24</v>
      </c>
      <c r="E25" t="s">
        <v>155</v>
      </c>
      <c r="G25" t="s">
        <v>25</v>
      </c>
    </row>
    <row r="26" spans="1:8" x14ac:dyDescent="0.35">
      <c r="C26" t="s">
        <v>26</v>
      </c>
      <c r="D26" t="s">
        <v>27</v>
      </c>
      <c r="E26" t="s">
        <v>26</v>
      </c>
      <c r="F26" t="s">
        <v>27</v>
      </c>
      <c r="G26" t="s">
        <v>26</v>
      </c>
      <c r="H26" t="s">
        <v>27</v>
      </c>
    </row>
    <row r="27" spans="1:8" x14ac:dyDescent="0.35">
      <c r="A27" t="s">
        <v>29</v>
      </c>
      <c r="C27" s="2">
        <f>-E27*EXP(-B20*B19)</f>
        <v>49.378890024694073</v>
      </c>
      <c r="E27">
        <f>-B18</f>
        <v>-50</v>
      </c>
    </row>
    <row r="28" spans="1:8" x14ac:dyDescent="0.35">
      <c r="A28" t="s">
        <v>28</v>
      </c>
      <c r="C28" s="2">
        <f>B16-C27</f>
        <v>950.6211099753059</v>
      </c>
      <c r="E28">
        <f>B18</f>
        <v>50</v>
      </c>
      <c r="G28" s="2">
        <f>-C28*EXP(B20*B17)</f>
        <v>-974.68619794739709</v>
      </c>
    </row>
    <row r="29" spans="1:8" x14ac:dyDescent="0.35">
      <c r="A29" t="s">
        <v>32</v>
      </c>
    </row>
    <row r="30" spans="1:8" x14ac:dyDescent="0.35">
      <c r="A30" t="s">
        <v>30</v>
      </c>
      <c r="C30" s="3">
        <f>-B16</f>
        <v>-1000</v>
      </c>
      <c r="D30">
        <v>1</v>
      </c>
    </row>
    <row r="32" spans="1:8" x14ac:dyDescent="0.35">
      <c r="A3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336A-5817-427E-8A07-76827F687AEC}">
  <dimension ref="A1:P118"/>
  <sheetViews>
    <sheetView workbookViewId="0">
      <selection activeCell="C84" sqref="C84"/>
    </sheetView>
  </sheetViews>
  <sheetFormatPr defaultRowHeight="14.5" x14ac:dyDescent="0.35"/>
  <sheetData>
    <row r="1" spans="1:1" x14ac:dyDescent="0.35">
      <c r="A1" t="s">
        <v>234</v>
      </c>
    </row>
    <row r="2" spans="1:1" x14ac:dyDescent="0.35">
      <c r="A2" t="s">
        <v>235</v>
      </c>
    </row>
    <row r="3" spans="1:1" x14ac:dyDescent="0.35">
      <c r="A3" t="s">
        <v>236</v>
      </c>
    </row>
    <row r="4" spans="1:1" x14ac:dyDescent="0.35">
      <c r="A4" t="s">
        <v>237</v>
      </c>
    </row>
    <row r="5" spans="1:1" x14ac:dyDescent="0.35">
      <c r="A5" t="s">
        <v>238</v>
      </c>
    </row>
    <row r="6" spans="1:1" x14ac:dyDescent="0.35">
      <c r="A6" t="s">
        <v>239</v>
      </c>
    </row>
    <row r="21" spans="1:8" x14ac:dyDescent="0.35">
      <c r="A21" t="s">
        <v>240</v>
      </c>
    </row>
    <row r="22" spans="1:8" x14ac:dyDescent="0.35">
      <c r="A22" t="s">
        <v>241</v>
      </c>
    </row>
    <row r="23" spans="1:8" x14ac:dyDescent="0.35">
      <c r="A23" t="s">
        <v>242</v>
      </c>
    </row>
    <row r="24" spans="1:8" x14ac:dyDescent="0.35">
      <c r="A24" t="s">
        <v>243</v>
      </c>
    </row>
    <row r="25" spans="1:8" x14ac:dyDescent="0.35">
      <c r="A25" t="s">
        <v>244</v>
      </c>
    </row>
    <row r="26" spans="1:8" x14ac:dyDescent="0.35">
      <c r="A26" t="s">
        <v>245</v>
      </c>
    </row>
    <row r="27" spans="1:8" x14ac:dyDescent="0.35">
      <c r="A27" t="s">
        <v>36</v>
      </c>
    </row>
    <row r="29" spans="1:8" x14ac:dyDescent="0.35">
      <c r="A29" t="s">
        <v>18</v>
      </c>
      <c r="B29" s="6">
        <v>100</v>
      </c>
      <c r="D29" t="s">
        <v>38</v>
      </c>
      <c r="E29" s="6">
        <v>80</v>
      </c>
      <c r="G29" t="s">
        <v>42</v>
      </c>
      <c r="H29" s="6">
        <v>70</v>
      </c>
    </row>
    <row r="30" spans="1:8" x14ac:dyDescent="0.35">
      <c r="A30" t="s">
        <v>19</v>
      </c>
      <c r="B30" s="6">
        <v>1</v>
      </c>
      <c r="D30" t="s">
        <v>39</v>
      </c>
      <c r="E30" s="6">
        <v>85</v>
      </c>
      <c r="G30" t="s">
        <v>43</v>
      </c>
      <c r="H30" s="6">
        <v>100</v>
      </c>
    </row>
    <row r="31" spans="1:8" x14ac:dyDescent="0.35">
      <c r="A31" t="s">
        <v>22</v>
      </c>
      <c r="B31" s="7">
        <v>0.02</v>
      </c>
      <c r="D31" t="s">
        <v>40</v>
      </c>
      <c r="E31" s="6">
        <v>115</v>
      </c>
      <c r="G31" t="s">
        <v>44</v>
      </c>
      <c r="H31" s="6">
        <v>130</v>
      </c>
    </row>
    <row r="32" spans="1:8" x14ac:dyDescent="0.35">
      <c r="A32" t="s">
        <v>35</v>
      </c>
      <c r="B32" s="7">
        <v>0</v>
      </c>
      <c r="D32" t="s">
        <v>41</v>
      </c>
      <c r="E32" s="6">
        <v>120</v>
      </c>
    </row>
    <row r="33" spans="1:16" x14ac:dyDescent="0.35">
      <c r="A33" t="s">
        <v>37</v>
      </c>
      <c r="B33" s="7">
        <v>0.2</v>
      </c>
    </row>
    <row r="34" spans="1:16" x14ac:dyDescent="0.35">
      <c r="K34" t="s">
        <v>66</v>
      </c>
      <c r="L34">
        <f>E29</f>
        <v>80</v>
      </c>
      <c r="M34">
        <f>E30</f>
        <v>85</v>
      </c>
      <c r="N34">
        <f>E31</f>
        <v>115</v>
      </c>
      <c r="O34">
        <f>E32</f>
        <v>120</v>
      </c>
    </row>
    <row r="35" spans="1:16" x14ac:dyDescent="0.35">
      <c r="A35" t="s">
        <v>65</v>
      </c>
      <c r="K35" t="s">
        <v>48</v>
      </c>
      <c r="L35">
        <f>B52</f>
        <v>1</v>
      </c>
      <c r="M35">
        <f t="shared" ref="M35:O35" si="0">C52</f>
        <v>-1</v>
      </c>
      <c r="N35">
        <f t="shared" si="0"/>
        <v>-1</v>
      </c>
      <c r="O35">
        <f t="shared" si="0"/>
        <v>1</v>
      </c>
    </row>
    <row r="36" spans="1:16" x14ac:dyDescent="0.35">
      <c r="A36" t="s">
        <v>60</v>
      </c>
      <c r="B36" t="s">
        <v>58</v>
      </c>
      <c r="D36" t="s">
        <v>59</v>
      </c>
      <c r="E36" t="s">
        <v>58</v>
      </c>
    </row>
    <row r="37" spans="1:16" x14ac:dyDescent="0.35">
      <c r="A37" t="s">
        <v>49</v>
      </c>
      <c r="B37" t="s">
        <v>53</v>
      </c>
      <c r="D37" t="s">
        <v>61</v>
      </c>
      <c r="E37" t="s">
        <v>53</v>
      </c>
      <c r="K37" t="s">
        <v>67</v>
      </c>
      <c r="L37" t="str">
        <f>"Call-" &amp; L34</f>
        <v>Call-80</v>
      </c>
      <c r="M37" t="str">
        <f>"Call-" &amp; M34</f>
        <v>Call-85</v>
      </c>
      <c r="N37" t="str">
        <f>"Call-" &amp; N34</f>
        <v>Call-115</v>
      </c>
      <c r="O37" t="str">
        <f>"Call-" &amp; O34</f>
        <v>Call-120</v>
      </c>
      <c r="P37" t="s">
        <v>69</v>
      </c>
    </row>
    <row r="38" spans="1:16" x14ac:dyDescent="0.35">
      <c r="A38" t="s">
        <v>50</v>
      </c>
      <c r="B38" t="s">
        <v>54</v>
      </c>
      <c r="D38" t="s">
        <v>62</v>
      </c>
      <c r="E38" t="s">
        <v>54</v>
      </c>
      <c r="K38">
        <v>60</v>
      </c>
      <c r="L38">
        <f>L$35*MAX($K38-L$34,0)</f>
        <v>0</v>
      </c>
      <c r="M38">
        <f t="shared" ref="M38:O53" si="1">M$35*MAX($K38-M$34,0)</f>
        <v>0</v>
      </c>
      <c r="N38">
        <f t="shared" si="1"/>
        <v>0</v>
      </c>
      <c r="O38">
        <f t="shared" si="1"/>
        <v>0</v>
      </c>
      <c r="P38">
        <f>SUM(L38:O38)</f>
        <v>0</v>
      </c>
    </row>
    <row r="39" spans="1:16" x14ac:dyDescent="0.35">
      <c r="A39" t="s">
        <v>51</v>
      </c>
      <c r="B39" t="s">
        <v>54</v>
      </c>
      <c r="D39" t="s">
        <v>63</v>
      </c>
      <c r="E39" t="s">
        <v>54</v>
      </c>
      <c r="K39">
        <v>61</v>
      </c>
      <c r="L39">
        <f t="shared" ref="L39:O102" si="2">L$35*MAX($K39-L$34,0)</f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ref="P39:P102" si="3">SUM(L39:O39)</f>
        <v>0</v>
      </c>
    </row>
    <row r="40" spans="1:16" x14ac:dyDescent="0.35">
      <c r="A40" t="s">
        <v>52</v>
      </c>
      <c r="B40" t="s">
        <v>53</v>
      </c>
      <c r="D40" t="s">
        <v>64</v>
      </c>
      <c r="E40" t="s">
        <v>53</v>
      </c>
      <c r="K40">
        <v>62</v>
      </c>
      <c r="L40">
        <f t="shared" si="2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3"/>
        <v>0</v>
      </c>
    </row>
    <row r="41" spans="1:16" x14ac:dyDescent="0.35">
      <c r="K41">
        <v>63</v>
      </c>
      <c r="L41">
        <f t="shared" si="2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3"/>
        <v>0</v>
      </c>
    </row>
    <row r="42" spans="1:16" x14ac:dyDescent="0.35">
      <c r="A42" t="s">
        <v>18</v>
      </c>
      <c r="B42" s="3">
        <f>$B$29</f>
        <v>100</v>
      </c>
      <c r="C42" s="3">
        <f t="shared" ref="C42:E42" si="4">$B$29</f>
        <v>100</v>
      </c>
      <c r="D42" s="3">
        <f t="shared" si="4"/>
        <v>100</v>
      </c>
      <c r="E42" s="3">
        <f t="shared" si="4"/>
        <v>100</v>
      </c>
      <c r="K42">
        <v>64</v>
      </c>
      <c r="L42">
        <f t="shared" si="2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3"/>
        <v>0</v>
      </c>
    </row>
    <row r="43" spans="1:16" x14ac:dyDescent="0.35">
      <c r="A43" t="s">
        <v>34</v>
      </c>
      <c r="B43" s="15">
        <f>E29</f>
        <v>80</v>
      </c>
      <c r="C43" s="15">
        <f>E30</f>
        <v>85</v>
      </c>
      <c r="D43" s="15">
        <f>E31</f>
        <v>115</v>
      </c>
      <c r="E43" s="15">
        <f>E32</f>
        <v>120</v>
      </c>
      <c r="K43">
        <v>65</v>
      </c>
      <c r="L43">
        <f t="shared" si="2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3"/>
        <v>0</v>
      </c>
    </row>
    <row r="44" spans="1:16" x14ac:dyDescent="0.35">
      <c r="A44" t="s">
        <v>19</v>
      </c>
      <c r="B44" s="2">
        <f>$B$30</f>
        <v>1</v>
      </c>
      <c r="C44" s="2">
        <f t="shared" ref="C44:E44" si="5">$B$30</f>
        <v>1</v>
      </c>
      <c r="D44" s="2">
        <f t="shared" si="5"/>
        <v>1</v>
      </c>
      <c r="E44" s="2">
        <f t="shared" si="5"/>
        <v>1</v>
      </c>
      <c r="K44">
        <v>66</v>
      </c>
      <c r="L44">
        <f t="shared" si="2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3"/>
        <v>0</v>
      </c>
    </row>
    <row r="45" spans="1:16" x14ac:dyDescent="0.35">
      <c r="A45" t="s">
        <v>22</v>
      </c>
      <c r="B45" s="9">
        <f>$B$31</f>
        <v>0.02</v>
      </c>
      <c r="C45" s="9">
        <f t="shared" ref="C45:E45" si="6">$B$31</f>
        <v>0.02</v>
      </c>
      <c r="D45" s="9">
        <f t="shared" si="6"/>
        <v>0.02</v>
      </c>
      <c r="E45" s="9">
        <f t="shared" si="6"/>
        <v>0.02</v>
      </c>
      <c r="K45">
        <v>67</v>
      </c>
      <c r="L45">
        <f t="shared" si="2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3"/>
        <v>0</v>
      </c>
    </row>
    <row r="46" spans="1:16" x14ac:dyDescent="0.35">
      <c r="A46" t="s">
        <v>35</v>
      </c>
      <c r="B46" s="9">
        <f>$B$32</f>
        <v>0</v>
      </c>
      <c r="C46" s="9">
        <f t="shared" ref="C46:E46" si="7">$B$32</f>
        <v>0</v>
      </c>
      <c r="D46" s="9">
        <f t="shared" si="7"/>
        <v>0</v>
      </c>
      <c r="E46" s="9">
        <f t="shared" si="7"/>
        <v>0</v>
      </c>
      <c r="K46">
        <v>68</v>
      </c>
      <c r="L46">
        <f t="shared" si="2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3"/>
        <v>0</v>
      </c>
    </row>
    <row r="47" spans="1:16" x14ac:dyDescent="0.35">
      <c r="A47" t="s">
        <v>37</v>
      </c>
      <c r="B47" s="9">
        <f>$B$33</f>
        <v>0.2</v>
      </c>
      <c r="C47" s="9">
        <f t="shared" ref="C47:E47" si="8">$B$33</f>
        <v>0.2</v>
      </c>
      <c r="D47" s="9">
        <f t="shared" si="8"/>
        <v>0.2</v>
      </c>
      <c r="E47" s="9">
        <f t="shared" si="8"/>
        <v>0.2</v>
      </c>
      <c r="K47">
        <v>69</v>
      </c>
      <c r="L47">
        <f t="shared" si="2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3"/>
        <v>0</v>
      </c>
    </row>
    <row r="48" spans="1:16" x14ac:dyDescent="0.35">
      <c r="A48" t="s">
        <v>45</v>
      </c>
      <c r="B48" s="2">
        <f xml:space="preserve"> 1 / (B47 * SQRT(B44)) * (LN(B42/B43) + (B45 - B46 + B47^2/2)*B44)</f>
        <v>1.3157177565710487</v>
      </c>
      <c r="C48" s="2">
        <f t="shared" ref="C48:E48" si="9" xml:space="preserve"> 1 / (C47 * SQRT(C44)) * (LN(C42/C43) + (C45 - C46 + C47^2/2)*C44)</f>
        <v>1.0125946474888747</v>
      </c>
      <c r="D48" s="2">
        <f t="shared" si="9"/>
        <v>-0.49880971187579365</v>
      </c>
      <c r="E48" s="2">
        <f t="shared" si="9"/>
        <v>-0.71160778396977298</v>
      </c>
      <c r="K48">
        <v>70</v>
      </c>
      <c r="L48">
        <f t="shared" si="2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3"/>
        <v>0</v>
      </c>
    </row>
    <row r="49" spans="1:16" x14ac:dyDescent="0.35">
      <c r="A49" t="s">
        <v>46</v>
      </c>
      <c r="B49" s="2">
        <f xml:space="preserve"> 1 / (B47 * SQRT(B44)) * (LN(B42/B43) + (B45 - B46 - B47^2/2)*B44)</f>
        <v>1.1157177565710488</v>
      </c>
      <c r="C49" s="2">
        <f t="shared" ref="C49:E49" si="10" xml:space="preserve"> 1 / (C47 * SQRT(C44)) * (LN(C42/C43) + (C45 - C46 - C47^2/2)*C44)</f>
        <v>0.81259464748887467</v>
      </c>
      <c r="D49" s="2">
        <f t="shared" si="10"/>
        <v>-0.69880971187579366</v>
      </c>
      <c r="E49" s="2">
        <f t="shared" si="10"/>
        <v>-0.91160778396977293</v>
      </c>
      <c r="K49">
        <v>71</v>
      </c>
      <c r="L49">
        <f t="shared" si="2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3"/>
        <v>0</v>
      </c>
    </row>
    <row r="50" spans="1:16" x14ac:dyDescent="0.35">
      <c r="A50" t="s">
        <v>47</v>
      </c>
      <c r="B50" s="2">
        <f>B42 * EXP(-B46*B44) *_xlfn.NORM.DIST(B48, 0, 1, 1) - B43 * EXP(-B45*B44) *_xlfn.NORM.DIST(B49, 0, 1, 1)</f>
        <v>22.542853157065267</v>
      </c>
      <c r="C50" s="2">
        <f t="shared" ref="C50:E50" si="11">C42 * EXP(-C46*C44) *_xlfn.NORM.DIST(C48, 0, 1, 1) - C43 * EXP(-C45*C44) *_xlfn.NORM.DIST(C49, 0, 1, 1)</f>
        <v>18.469101622839986</v>
      </c>
      <c r="D50" s="2">
        <f t="shared" si="11"/>
        <v>3.5789270079895168</v>
      </c>
      <c r="E50" s="2">
        <f t="shared" si="11"/>
        <v>2.5469262576277245</v>
      </c>
      <c r="K50">
        <v>72</v>
      </c>
      <c r="L50">
        <f t="shared" si="2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3"/>
        <v>0</v>
      </c>
    </row>
    <row r="51" spans="1:16" x14ac:dyDescent="0.35">
      <c r="A51" t="s">
        <v>55</v>
      </c>
      <c r="B51" s="2">
        <f>B43 * EXP(-B45*B44) *_xlfn.NORM.DIST(-B49, 0, 1, 1) - B42 * EXP(-B46*B44) *_xlfn.NORM.DIST(-B48, 0, 1, 1)</f>
        <v>0.95874702160568326</v>
      </c>
      <c r="C51" s="2">
        <f t="shared" ref="C51:E51" si="12">C43 * EXP(-C45*C44) *_xlfn.NORM.DIST(-C49, 0, 1, 1) - C42 * EXP(-C46*C44) *_xlfn.NORM.DIST(-C48, 0, 1, 1)</f>
        <v>1.7859888539141782</v>
      </c>
      <c r="D51" s="2">
        <f t="shared" si="12"/>
        <v>16.301774438266378</v>
      </c>
      <c r="E51" s="2">
        <f t="shared" si="12"/>
        <v>20.170767054438357</v>
      </c>
      <c r="K51">
        <v>73</v>
      </c>
      <c r="L51">
        <f t="shared" si="2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3"/>
        <v>0</v>
      </c>
    </row>
    <row r="52" spans="1:16" x14ac:dyDescent="0.35">
      <c r="A52" t="s">
        <v>48</v>
      </c>
      <c r="B52" s="14">
        <v>1</v>
      </c>
      <c r="C52" s="14">
        <v>-1</v>
      </c>
      <c r="D52" s="14">
        <v>-1</v>
      </c>
      <c r="E52" s="14">
        <v>1</v>
      </c>
      <c r="K52">
        <v>74</v>
      </c>
      <c r="L52">
        <f t="shared" si="2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3"/>
        <v>0</v>
      </c>
    </row>
    <row r="53" spans="1:16" x14ac:dyDescent="0.35">
      <c r="K53">
        <v>75</v>
      </c>
      <c r="L53">
        <f t="shared" si="2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3"/>
        <v>0</v>
      </c>
    </row>
    <row r="54" spans="1:16" x14ac:dyDescent="0.35">
      <c r="A54" t="s">
        <v>56</v>
      </c>
      <c r="C54" s="13">
        <f>SUMPRODUCT(B50:E50,B52:E52)</f>
        <v>3.0417507838634883</v>
      </c>
      <c r="K54">
        <v>76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3"/>
        <v>0</v>
      </c>
    </row>
    <row r="55" spans="1:16" x14ac:dyDescent="0.35">
      <c r="A55" t="s">
        <v>57</v>
      </c>
      <c r="C55" s="13">
        <f>SUMPRODUCT(B51:E51,B52:E52)</f>
        <v>3.0417507838634847</v>
      </c>
      <c r="K55">
        <v>77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3"/>
        <v>0</v>
      </c>
    </row>
    <row r="56" spans="1:16" x14ac:dyDescent="0.35">
      <c r="C56" s="2"/>
      <c r="K56">
        <v>78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3"/>
        <v>0</v>
      </c>
    </row>
    <row r="57" spans="1:16" x14ac:dyDescent="0.35">
      <c r="A57" t="s">
        <v>70</v>
      </c>
      <c r="K57">
        <v>79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3"/>
        <v>0</v>
      </c>
    </row>
    <row r="58" spans="1:16" x14ac:dyDescent="0.35">
      <c r="K58">
        <v>80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3"/>
        <v>0</v>
      </c>
    </row>
    <row r="59" spans="1:16" x14ac:dyDescent="0.35">
      <c r="A59" t="s">
        <v>18</v>
      </c>
      <c r="B59" s="16">
        <f>$H$29</f>
        <v>70</v>
      </c>
      <c r="C59" s="16">
        <f t="shared" ref="C59:E59" si="13">$H$29</f>
        <v>70</v>
      </c>
      <c r="D59" s="16">
        <f t="shared" si="13"/>
        <v>70</v>
      </c>
      <c r="E59" s="16">
        <f t="shared" si="13"/>
        <v>70</v>
      </c>
      <c r="K59">
        <v>81</v>
      </c>
      <c r="L59">
        <f t="shared" si="2"/>
        <v>1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3"/>
        <v>1</v>
      </c>
    </row>
    <row r="60" spans="1:16" x14ac:dyDescent="0.35">
      <c r="A60" t="s">
        <v>34</v>
      </c>
      <c r="B60">
        <f>B$43</f>
        <v>80</v>
      </c>
      <c r="C60">
        <f t="shared" ref="C60:E60" si="14">C$43</f>
        <v>85</v>
      </c>
      <c r="D60">
        <f t="shared" si="14"/>
        <v>115</v>
      </c>
      <c r="E60">
        <f t="shared" si="14"/>
        <v>120</v>
      </c>
      <c r="K60">
        <v>82</v>
      </c>
      <c r="L60">
        <f t="shared" si="2"/>
        <v>2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3"/>
        <v>2</v>
      </c>
    </row>
    <row r="61" spans="1:16" x14ac:dyDescent="0.35">
      <c r="A61" t="s">
        <v>19</v>
      </c>
      <c r="B61" s="2">
        <f>$B$30</f>
        <v>1</v>
      </c>
      <c r="C61" s="2">
        <f t="shared" ref="C61:E61" si="15">$B$30</f>
        <v>1</v>
      </c>
      <c r="D61" s="2">
        <f t="shared" si="15"/>
        <v>1</v>
      </c>
      <c r="E61" s="2">
        <f t="shared" si="15"/>
        <v>1</v>
      </c>
      <c r="K61">
        <v>83</v>
      </c>
      <c r="L61">
        <f t="shared" si="2"/>
        <v>3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3"/>
        <v>3</v>
      </c>
    </row>
    <row r="62" spans="1:16" x14ac:dyDescent="0.35">
      <c r="A62" t="s">
        <v>22</v>
      </c>
      <c r="B62" s="4">
        <f>$B$31</f>
        <v>0.02</v>
      </c>
      <c r="C62" s="4">
        <f t="shared" ref="C62:E62" si="16">$B$31</f>
        <v>0.02</v>
      </c>
      <c r="D62" s="4">
        <f t="shared" si="16"/>
        <v>0.02</v>
      </c>
      <c r="E62" s="4">
        <f t="shared" si="16"/>
        <v>0.02</v>
      </c>
      <c r="K62">
        <v>84</v>
      </c>
      <c r="L62">
        <f t="shared" si="2"/>
        <v>4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3"/>
        <v>4</v>
      </c>
    </row>
    <row r="63" spans="1:16" x14ac:dyDescent="0.35">
      <c r="A63" t="s">
        <v>35</v>
      </c>
      <c r="B63" s="4">
        <f>$B$32</f>
        <v>0</v>
      </c>
      <c r="C63" s="4">
        <f t="shared" ref="C63:E63" si="17">$B$32</f>
        <v>0</v>
      </c>
      <c r="D63" s="4">
        <f t="shared" si="17"/>
        <v>0</v>
      </c>
      <c r="E63" s="4">
        <f t="shared" si="17"/>
        <v>0</v>
      </c>
      <c r="K63">
        <v>85</v>
      </c>
      <c r="L63">
        <f t="shared" si="2"/>
        <v>5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3"/>
        <v>5</v>
      </c>
    </row>
    <row r="64" spans="1:16" x14ac:dyDescent="0.35">
      <c r="A64" t="s">
        <v>37</v>
      </c>
      <c r="B64" s="4">
        <f>$B$33</f>
        <v>0.2</v>
      </c>
      <c r="C64" s="4">
        <f t="shared" ref="C64:E64" si="18">$B$33</f>
        <v>0.2</v>
      </c>
      <c r="D64" s="4">
        <f t="shared" si="18"/>
        <v>0.2</v>
      </c>
      <c r="E64" s="4">
        <f t="shared" si="18"/>
        <v>0.2</v>
      </c>
      <c r="K64">
        <v>86</v>
      </c>
      <c r="L64">
        <f t="shared" si="2"/>
        <v>6</v>
      </c>
      <c r="M64">
        <f t="shared" si="2"/>
        <v>-1</v>
      </c>
      <c r="N64">
        <f t="shared" si="2"/>
        <v>0</v>
      </c>
      <c r="O64">
        <f t="shared" si="2"/>
        <v>0</v>
      </c>
      <c r="P64">
        <f t="shared" si="3"/>
        <v>5</v>
      </c>
    </row>
    <row r="65" spans="1:16" x14ac:dyDescent="0.35">
      <c r="A65" t="s">
        <v>45</v>
      </c>
      <c r="B65" s="2">
        <f xml:space="preserve"> 1 / (B64 * SQRT(B61)) * (LN(B59/B60) + (B62 - B63 + B64^2/2)*B61)</f>
        <v>-0.46765696312261307</v>
      </c>
      <c r="C65" s="2">
        <f t="shared" ref="C65:E65" si="19" xml:space="preserve"> 1 / (C64 * SQRT(C61)) * (LN(C59/C60) + (C62 - C63 + C64^2/2)*C61)</f>
        <v>-0.7707800722047875</v>
      </c>
      <c r="D65" s="2">
        <f t="shared" si="19"/>
        <v>-2.2821844315694548</v>
      </c>
      <c r="E65" s="2">
        <f t="shared" si="19"/>
        <v>-2.4949825036634343</v>
      </c>
      <c r="K65">
        <v>87</v>
      </c>
      <c r="L65">
        <f t="shared" si="2"/>
        <v>7</v>
      </c>
      <c r="M65">
        <f t="shared" si="2"/>
        <v>-2</v>
      </c>
      <c r="N65">
        <f t="shared" si="2"/>
        <v>0</v>
      </c>
      <c r="O65">
        <f t="shared" si="2"/>
        <v>0</v>
      </c>
      <c r="P65">
        <f t="shared" si="3"/>
        <v>5</v>
      </c>
    </row>
    <row r="66" spans="1:16" x14ac:dyDescent="0.35">
      <c r="A66" t="s">
        <v>71</v>
      </c>
      <c r="B66" s="9">
        <f>_xlfn.NORM.DIST(B65, 0, 1, TRUE) * EXP(-B63*B61)</f>
        <v>0.32001496115515271</v>
      </c>
      <c r="C66" s="9">
        <f t="shared" ref="C66:E66" si="20">_xlfn.NORM.DIST(C65, 0, 1, TRUE) * EXP(-C63*C61)</f>
        <v>0.2204186505131758</v>
      </c>
      <c r="D66" s="9">
        <f t="shared" si="20"/>
        <v>1.1239226925650216E-2</v>
      </c>
      <c r="E66" s="9">
        <f t="shared" si="20"/>
        <v>6.2981670500169683E-3</v>
      </c>
      <c r="K66">
        <v>88</v>
      </c>
      <c r="L66">
        <f t="shared" si="2"/>
        <v>8</v>
      </c>
      <c r="M66">
        <f t="shared" si="2"/>
        <v>-3</v>
      </c>
      <c r="N66">
        <f t="shared" si="2"/>
        <v>0</v>
      </c>
      <c r="O66">
        <f t="shared" si="2"/>
        <v>0</v>
      </c>
      <c r="P66">
        <f t="shared" si="3"/>
        <v>5</v>
      </c>
    </row>
    <row r="67" spans="1:16" x14ac:dyDescent="0.35">
      <c r="A67" t="s">
        <v>72</v>
      </c>
      <c r="B67" s="2">
        <f>EXP(-B63*B61) * B59 *_xlfn.NORM.DIST(B65, 0, 1, 0) * SQRT(B61)</f>
        <v>25.033256259928478</v>
      </c>
      <c r="C67" s="2">
        <f t="shared" ref="C67:E67" si="21">EXP(-C63*C61) * C59 *_xlfn.NORM.DIST(C65, 0, 1, 0) * SQRT(C61)</f>
        <v>20.749159690030304</v>
      </c>
      <c r="D67" s="2">
        <f t="shared" si="21"/>
        <v>2.0655030799540448</v>
      </c>
      <c r="E67" s="2">
        <f t="shared" si="21"/>
        <v>1.2424532618344961</v>
      </c>
      <c r="K67">
        <v>89</v>
      </c>
      <c r="L67">
        <f t="shared" si="2"/>
        <v>9</v>
      </c>
      <c r="M67">
        <f t="shared" si="2"/>
        <v>-4</v>
      </c>
      <c r="N67">
        <f t="shared" si="2"/>
        <v>0</v>
      </c>
      <c r="O67">
        <f t="shared" si="2"/>
        <v>0</v>
      </c>
      <c r="P67">
        <f t="shared" si="3"/>
        <v>5</v>
      </c>
    </row>
    <row r="68" spans="1:16" x14ac:dyDescent="0.35">
      <c r="K68">
        <v>90</v>
      </c>
      <c r="L68">
        <f t="shared" si="2"/>
        <v>10</v>
      </c>
      <c r="M68">
        <f t="shared" si="2"/>
        <v>-5</v>
      </c>
      <c r="N68">
        <f t="shared" si="2"/>
        <v>0</v>
      </c>
      <c r="O68">
        <f t="shared" si="2"/>
        <v>0</v>
      </c>
      <c r="P68">
        <f t="shared" si="3"/>
        <v>5</v>
      </c>
    </row>
    <row r="69" spans="1:16" x14ac:dyDescent="0.35">
      <c r="A69" t="s">
        <v>73</v>
      </c>
      <c r="C69" s="18">
        <f>SUMPRODUCT(B66:E66, $B$52:$E$52)</f>
        <v>9.4655250766343665E-2</v>
      </c>
      <c r="K69">
        <v>91</v>
      </c>
      <c r="L69">
        <f t="shared" si="2"/>
        <v>11</v>
      </c>
      <c r="M69">
        <f t="shared" si="2"/>
        <v>-6</v>
      </c>
      <c r="N69">
        <f t="shared" si="2"/>
        <v>0</v>
      </c>
      <c r="O69">
        <f t="shared" si="2"/>
        <v>0</v>
      </c>
      <c r="P69">
        <f t="shared" si="3"/>
        <v>5</v>
      </c>
    </row>
    <row r="70" spans="1:16" x14ac:dyDescent="0.35">
      <c r="A70" t="s">
        <v>74</v>
      </c>
      <c r="C70" s="13">
        <f>SUMPRODUCT(B67:E67, $B$52:$E$52)/100</f>
        <v>3.4610467517786264E-2</v>
      </c>
      <c r="D70" t="s">
        <v>78</v>
      </c>
      <c r="K70">
        <v>92</v>
      </c>
      <c r="L70">
        <f t="shared" si="2"/>
        <v>12</v>
      </c>
      <c r="M70">
        <f t="shared" si="2"/>
        <v>-7</v>
      </c>
      <c r="N70">
        <f t="shared" si="2"/>
        <v>0</v>
      </c>
      <c r="O70">
        <f t="shared" si="2"/>
        <v>0</v>
      </c>
      <c r="P70">
        <f t="shared" si="3"/>
        <v>5</v>
      </c>
    </row>
    <row r="71" spans="1:16" x14ac:dyDescent="0.35">
      <c r="K71">
        <v>93</v>
      </c>
      <c r="L71">
        <f t="shared" si="2"/>
        <v>13</v>
      </c>
      <c r="M71">
        <f t="shared" si="2"/>
        <v>-8</v>
      </c>
      <c r="N71">
        <f t="shared" si="2"/>
        <v>0</v>
      </c>
      <c r="O71">
        <f t="shared" si="2"/>
        <v>0</v>
      </c>
      <c r="P71">
        <f t="shared" si="3"/>
        <v>5</v>
      </c>
    </row>
    <row r="72" spans="1:16" x14ac:dyDescent="0.35">
      <c r="A72" t="s">
        <v>75</v>
      </c>
      <c r="K72">
        <v>94</v>
      </c>
      <c r="L72">
        <f t="shared" si="2"/>
        <v>14</v>
      </c>
      <c r="M72">
        <f t="shared" si="2"/>
        <v>-9</v>
      </c>
      <c r="N72">
        <f t="shared" si="2"/>
        <v>0</v>
      </c>
      <c r="O72">
        <f t="shared" si="2"/>
        <v>0</v>
      </c>
      <c r="P72">
        <f t="shared" si="3"/>
        <v>5</v>
      </c>
    </row>
    <row r="73" spans="1:16" x14ac:dyDescent="0.35">
      <c r="K73">
        <v>95</v>
      </c>
      <c r="L73">
        <f t="shared" si="2"/>
        <v>15</v>
      </c>
      <c r="M73">
        <f t="shared" si="2"/>
        <v>-10</v>
      </c>
      <c r="N73">
        <f t="shared" si="2"/>
        <v>0</v>
      </c>
      <c r="O73">
        <f t="shared" si="2"/>
        <v>0</v>
      </c>
      <c r="P73">
        <f t="shared" si="3"/>
        <v>5</v>
      </c>
    </row>
    <row r="74" spans="1:16" x14ac:dyDescent="0.35">
      <c r="A74" t="s">
        <v>18</v>
      </c>
      <c r="B74" s="16">
        <f>$H$30</f>
        <v>100</v>
      </c>
      <c r="C74" s="16">
        <f t="shared" ref="C74:E74" si="22">$H$30</f>
        <v>100</v>
      </c>
      <c r="D74" s="16">
        <f t="shared" si="22"/>
        <v>100</v>
      </c>
      <c r="E74" s="16">
        <f t="shared" si="22"/>
        <v>100</v>
      </c>
      <c r="K74">
        <v>96</v>
      </c>
      <c r="L74">
        <f t="shared" si="2"/>
        <v>16</v>
      </c>
      <c r="M74">
        <f t="shared" si="2"/>
        <v>-11</v>
      </c>
      <c r="N74">
        <f t="shared" si="2"/>
        <v>0</v>
      </c>
      <c r="O74">
        <f t="shared" si="2"/>
        <v>0</v>
      </c>
      <c r="P74">
        <f t="shared" si="3"/>
        <v>5</v>
      </c>
    </row>
    <row r="75" spans="1:16" x14ac:dyDescent="0.35">
      <c r="A75" t="s">
        <v>34</v>
      </c>
      <c r="B75">
        <f>B$43</f>
        <v>80</v>
      </c>
      <c r="C75">
        <f t="shared" ref="C75:E75" si="23">C$43</f>
        <v>85</v>
      </c>
      <c r="D75">
        <f t="shared" si="23"/>
        <v>115</v>
      </c>
      <c r="E75">
        <f t="shared" si="23"/>
        <v>120</v>
      </c>
      <c r="K75">
        <v>97</v>
      </c>
      <c r="L75">
        <f t="shared" si="2"/>
        <v>17</v>
      </c>
      <c r="M75">
        <f t="shared" si="2"/>
        <v>-12</v>
      </c>
      <c r="N75">
        <f t="shared" si="2"/>
        <v>0</v>
      </c>
      <c r="O75">
        <f t="shared" si="2"/>
        <v>0</v>
      </c>
      <c r="P75">
        <f t="shared" si="3"/>
        <v>5</v>
      </c>
    </row>
    <row r="76" spans="1:16" x14ac:dyDescent="0.35">
      <c r="A76" t="s">
        <v>19</v>
      </c>
      <c r="B76" s="2">
        <f>$B$30</f>
        <v>1</v>
      </c>
      <c r="C76" s="2">
        <f t="shared" ref="C76:E76" si="24">$B$30</f>
        <v>1</v>
      </c>
      <c r="D76" s="2">
        <f t="shared" si="24"/>
        <v>1</v>
      </c>
      <c r="E76" s="2">
        <f t="shared" si="24"/>
        <v>1</v>
      </c>
      <c r="K76">
        <v>98</v>
      </c>
      <c r="L76">
        <f t="shared" si="2"/>
        <v>18</v>
      </c>
      <c r="M76">
        <f t="shared" si="2"/>
        <v>-13</v>
      </c>
      <c r="N76">
        <f t="shared" si="2"/>
        <v>0</v>
      </c>
      <c r="O76">
        <f t="shared" si="2"/>
        <v>0</v>
      </c>
      <c r="P76">
        <f t="shared" si="3"/>
        <v>5</v>
      </c>
    </row>
    <row r="77" spans="1:16" x14ac:dyDescent="0.35">
      <c r="A77" t="s">
        <v>22</v>
      </c>
      <c r="B77" s="4">
        <f>$B$31</f>
        <v>0.02</v>
      </c>
      <c r="C77" s="4">
        <f t="shared" ref="C77:E77" si="25">$B$31</f>
        <v>0.02</v>
      </c>
      <c r="D77" s="4">
        <f t="shared" si="25"/>
        <v>0.02</v>
      </c>
      <c r="E77" s="4">
        <f t="shared" si="25"/>
        <v>0.02</v>
      </c>
      <c r="K77">
        <v>99</v>
      </c>
      <c r="L77">
        <f t="shared" si="2"/>
        <v>19</v>
      </c>
      <c r="M77">
        <f t="shared" si="2"/>
        <v>-14</v>
      </c>
      <c r="N77">
        <f t="shared" si="2"/>
        <v>0</v>
      </c>
      <c r="O77">
        <f t="shared" si="2"/>
        <v>0</v>
      </c>
      <c r="P77">
        <f t="shared" si="3"/>
        <v>5</v>
      </c>
    </row>
    <row r="78" spans="1:16" x14ac:dyDescent="0.35">
      <c r="A78" t="s">
        <v>35</v>
      </c>
      <c r="B78" s="4">
        <f>$B$32</f>
        <v>0</v>
      </c>
      <c r="C78" s="4">
        <f t="shared" ref="C78:E78" si="26">$B$32</f>
        <v>0</v>
      </c>
      <c r="D78" s="4">
        <f t="shared" si="26"/>
        <v>0</v>
      </c>
      <c r="E78" s="4">
        <f t="shared" si="26"/>
        <v>0</v>
      </c>
      <c r="K78">
        <v>100</v>
      </c>
      <c r="L78">
        <f t="shared" si="2"/>
        <v>20</v>
      </c>
      <c r="M78">
        <f t="shared" si="2"/>
        <v>-15</v>
      </c>
      <c r="N78">
        <f t="shared" si="2"/>
        <v>0</v>
      </c>
      <c r="O78">
        <f t="shared" si="2"/>
        <v>0</v>
      </c>
      <c r="P78">
        <f t="shared" si="3"/>
        <v>5</v>
      </c>
    </row>
    <row r="79" spans="1:16" x14ac:dyDescent="0.35">
      <c r="A79" t="s">
        <v>37</v>
      </c>
      <c r="B79" s="4">
        <f>$B$33</f>
        <v>0.2</v>
      </c>
      <c r="C79" s="4">
        <f t="shared" ref="C79:E79" si="27">$B$33</f>
        <v>0.2</v>
      </c>
      <c r="D79" s="4">
        <f t="shared" si="27"/>
        <v>0.2</v>
      </c>
      <c r="E79" s="4">
        <f t="shared" si="27"/>
        <v>0.2</v>
      </c>
      <c r="K79">
        <v>101</v>
      </c>
      <c r="L79">
        <f t="shared" si="2"/>
        <v>21</v>
      </c>
      <c r="M79">
        <f t="shared" si="2"/>
        <v>-16</v>
      </c>
      <c r="N79">
        <f t="shared" si="2"/>
        <v>0</v>
      </c>
      <c r="O79">
        <f t="shared" si="2"/>
        <v>0</v>
      </c>
      <c r="P79">
        <f t="shared" si="3"/>
        <v>5</v>
      </c>
    </row>
    <row r="80" spans="1:16" x14ac:dyDescent="0.35">
      <c r="A80" t="s">
        <v>45</v>
      </c>
      <c r="B80" s="2">
        <f xml:space="preserve"> 1 / (B79 * SQRT(B76)) * (LN(B74/B75) + (B77 - B78 + B79^2/2)*B76)</f>
        <v>1.3157177565710487</v>
      </c>
      <c r="C80" s="2">
        <f t="shared" ref="C80" si="28" xml:space="preserve"> 1 / (C79 * SQRT(C76)) * (LN(C74/C75) + (C77 - C78 + C79^2/2)*C76)</f>
        <v>1.0125946474888747</v>
      </c>
      <c r="D80" s="2">
        <f t="shared" ref="D80" si="29" xml:space="preserve"> 1 / (D79 * SQRT(D76)) * (LN(D74/D75) + (D77 - D78 + D79^2/2)*D76)</f>
        <v>-0.49880971187579365</v>
      </c>
      <c r="E80" s="2">
        <f t="shared" ref="E80" si="30" xml:space="preserve"> 1 / (E79 * SQRT(E76)) * (LN(E74/E75) + (E77 - E78 + E79^2/2)*E76)</f>
        <v>-0.71160778396977298</v>
      </c>
      <c r="K80">
        <v>102</v>
      </c>
      <c r="L80">
        <f t="shared" si="2"/>
        <v>22</v>
      </c>
      <c r="M80">
        <f t="shared" si="2"/>
        <v>-17</v>
      </c>
      <c r="N80">
        <f t="shared" si="2"/>
        <v>0</v>
      </c>
      <c r="O80">
        <f t="shared" si="2"/>
        <v>0</v>
      </c>
      <c r="P80">
        <f t="shared" si="3"/>
        <v>5</v>
      </c>
    </row>
    <row r="81" spans="1:16" x14ac:dyDescent="0.35">
      <c r="A81" t="s">
        <v>71</v>
      </c>
      <c r="B81" s="9">
        <f>_xlfn.NORM.DIST(B80, 0, 1, TRUE) * EXP(-B78*B76)</f>
        <v>0.90586560392909532</v>
      </c>
      <c r="C81" s="9">
        <f t="shared" ref="C81" si="31">_xlfn.NORM.DIST(C80, 0, 1, TRUE) * EXP(-C78*C76)</f>
        <v>0.84437309123189819</v>
      </c>
      <c r="D81" s="9">
        <f t="shared" ref="D81" si="32">_xlfn.NORM.DIST(D80, 0, 1, TRUE) * EXP(-D78*D76)</f>
        <v>0.30895672252941464</v>
      </c>
      <c r="E81" s="9">
        <f t="shared" ref="E81" si="33">_xlfn.NORM.DIST(E80, 0, 1, TRUE) * EXP(-E78*E76)</f>
        <v>0.23835384277191274</v>
      </c>
      <c r="K81">
        <v>103</v>
      </c>
      <c r="L81">
        <f t="shared" si="2"/>
        <v>23</v>
      </c>
      <c r="M81">
        <f t="shared" si="2"/>
        <v>-18</v>
      </c>
      <c r="N81">
        <f t="shared" si="2"/>
        <v>0</v>
      </c>
      <c r="O81">
        <f t="shared" si="2"/>
        <v>0</v>
      </c>
      <c r="P81">
        <f t="shared" si="3"/>
        <v>5</v>
      </c>
    </row>
    <row r="82" spans="1:16" x14ac:dyDescent="0.35">
      <c r="A82" t="s">
        <v>72</v>
      </c>
      <c r="B82" s="2">
        <f>EXP(-B78*B76) * B74 *_xlfn.NORM.DIST(B80, 0, 1, 0) * SQRT(B76)</f>
        <v>16.788179629772475</v>
      </c>
      <c r="C82" s="2">
        <f t="shared" ref="C82:E82" si="34">EXP(-C78*C76) * C74 *_xlfn.NORM.DIST(C80, 0, 1, 0) * SQRT(C76)</f>
        <v>23.892334916862605</v>
      </c>
      <c r="D82" s="2">
        <f t="shared" si="34"/>
        <v>35.227466916654578</v>
      </c>
      <c r="E82" s="2">
        <f t="shared" si="34"/>
        <v>30.970614441453066</v>
      </c>
      <c r="K82">
        <v>104</v>
      </c>
      <c r="L82">
        <f t="shared" si="2"/>
        <v>24</v>
      </c>
      <c r="M82">
        <f t="shared" si="2"/>
        <v>-19</v>
      </c>
      <c r="N82">
        <f t="shared" si="2"/>
        <v>0</v>
      </c>
      <c r="O82">
        <f t="shared" si="2"/>
        <v>0</v>
      </c>
      <c r="P82">
        <f t="shared" si="3"/>
        <v>5</v>
      </c>
    </row>
    <row r="83" spans="1:16" x14ac:dyDescent="0.35">
      <c r="K83">
        <v>105</v>
      </c>
      <c r="L83">
        <f t="shared" si="2"/>
        <v>25</v>
      </c>
      <c r="M83">
        <f t="shared" si="2"/>
        <v>-20</v>
      </c>
      <c r="N83">
        <f t="shared" si="2"/>
        <v>0</v>
      </c>
      <c r="O83">
        <f t="shared" si="2"/>
        <v>0</v>
      </c>
      <c r="P83">
        <f t="shared" si="3"/>
        <v>5</v>
      </c>
    </row>
    <row r="84" spans="1:16" x14ac:dyDescent="0.35">
      <c r="A84" t="s">
        <v>73</v>
      </c>
      <c r="C84" s="18">
        <f>SUMPRODUCT(B81:E81, $B$52:$E$52)</f>
        <v>-9.1103670603047693E-3</v>
      </c>
      <c r="K84">
        <v>106</v>
      </c>
      <c r="L84">
        <f t="shared" si="2"/>
        <v>26</v>
      </c>
      <c r="M84">
        <f t="shared" si="2"/>
        <v>-21</v>
      </c>
      <c r="N84">
        <f t="shared" si="2"/>
        <v>0</v>
      </c>
      <c r="O84">
        <f t="shared" si="2"/>
        <v>0</v>
      </c>
      <c r="P84">
        <f t="shared" si="3"/>
        <v>5</v>
      </c>
    </row>
    <row r="85" spans="1:16" x14ac:dyDescent="0.35">
      <c r="A85" t="s">
        <v>74</v>
      </c>
      <c r="C85" s="13">
        <f>SUMPRODUCT(B82:E82, $B$52:$E$52)/100</f>
        <v>-0.11361007762291642</v>
      </c>
      <c r="D85" t="s">
        <v>77</v>
      </c>
      <c r="K85">
        <v>107</v>
      </c>
      <c r="L85">
        <f t="shared" si="2"/>
        <v>27</v>
      </c>
      <c r="M85">
        <f t="shared" si="2"/>
        <v>-22</v>
      </c>
      <c r="N85">
        <f t="shared" si="2"/>
        <v>0</v>
      </c>
      <c r="O85">
        <f t="shared" si="2"/>
        <v>0</v>
      </c>
      <c r="P85">
        <f t="shared" si="3"/>
        <v>5</v>
      </c>
    </row>
    <row r="86" spans="1:16" x14ac:dyDescent="0.35">
      <c r="K86">
        <v>108</v>
      </c>
      <c r="L86">
        <f t="shared" si="2"/>
        <v>28</v>
      </c>
      <c r="M86">
        <f t="shared" si="2"/>
        <v>-23</v>
      </c>
      <c r="N86">
        <f t="shared" si="2"/>
        <v>0</v>
      </c>
      <c r="O86">
        <f t="shared" si="2"/>
        <v>0</v>
      </c>
      <c r="P86">
        <f t="shared" si="3"/>
        <v>5</v>
      </c>
    </row>
    <row r="87" spans="1:16" x14ac:dyDescent="0.35">
      <c r="A87" t="s">
        <v>79</v>
      </c>
      <c r="K87">
        <v>109</v>
      </c>
      <c r="L87">
        <f t="shared" si="2"/>
        <v>29</v>
      </c>
      <c r="M87">
        <f t="shared" si="2"/>
        <v>-24</v>
      </c>
      <c r="N87">
        <f t="shared" si="2"/>
        <v>0</v>
      </c>
      <c r="O87">
        <f t="shared" si="2"/>
        <v>0</v>
      </c>
      <c r="P87">
        <f t="shared" si="3"/>
        <v>5</v>
      </c>
    </row>
    <row r="88" spans="1:16" x14ac:dyDescent="0.35">
      <c r="K88">
        <v>110</v>
      </c>
      <c r="L88">
        <f t="shared" si="2"/>
        <v>30</v>
      </c>
      <c r="M88">
        <f t="shared" si="2"/>
        <v>-25</v>
      </c>
      <c r="N88">
        <f t="shared" si="2"/>
        <v>0</v>
      </c>
      <c r="O88">
        <f t="shared" si="2"/>
        <v>0</v>
      </c>
      <c r="P88">
        <f t="shared" si="3"/>
        <v>5</v>
      </c>
    </row>
    <row r="89" spans="1:16" x14ac:dyDescent="0.35">
      <c r="A89" t="s">
        <v>18</v>
      </c>
      <c r="B89" s="16">
        <f>$H$31</f>
        <v>130</v>
      </c>
      <c r="C89" s="16">
        <f t="shared" ref="C89:E89" si="35">$H$31</f>
        <v>130</v>
      </c>
      <c r="D89" s="16">
        <f t="shared" si="35"/>
        <v>130</v>
      </c>
      <c r="E89" s="16">
        <f t="shared" si="35"/>
        <v>130</v>
      </c>
      <c r="K89">
        <v>111</v>
      </c>
      <c r="L89">
        <f t="shared" si="2"/>
        <v>31</v>
      </c>
      <c r="M89">
        <f t="shared" si="2"/>
        <v>-26</v>
      </c>
      <c r="N89">
        <f t="shared" si="2"/>
        <v>0</v>
      </c>
      <c r="O89">
        <f t="shared" si="2"/>
        <v>0</v>
      </c>
      <c r="P89">
        <f t="shared" si="3"/>
        <v>5</v>
      </c>
    </row>
    <row r="90" spans="1:16" x14ac:dyDescent="0.35">
      <c r="A90" t="s">
        <v>34</v>
      </c>
      <c r="B90">
        <f>B$43</f>
        <v>80</v>
      </c>
      <c r="C90">
        <f t="shared" ref="C90:E90" si="36">C$43</f>
        <v>85</v>
      </c>
      <c r="D90">
        <f t="shared" si="36"/>
        <v>115</v>
      </c>
      <c r="E90">
        <f t="shared" si="36"/>
        <v>120</v>
      </c>
      <c r="K90">
        <v>112</v>
      </c>
      <c r="L90">
        <f t="shared" si="2"/>
        <v>32</v>
      </c>
      <c r="M90">
        <f t="shared" si="2"/>
        <v>-27</v>
      </c>
      <c r="N90">
        <f t="shared" si="2"/>
        <v>0</v>
      </c>
      <c r="O90">
        <f t="shared" si="2"/>
        <v>0</v>
      </c>
      <c r="P90">
        <f t="shared" si="3"/>
        <v>5</v>
      </c>
    </row>
    <row r="91" spans="1:16" x14ac:dyDescent="0.35">
      <c r="A91" t="s">
        <v>19</v>
      </c>
      <c r="B91" s="2">
        <f>$B$30</f>
        <v>1</v>
      </c>
      <c r="C91" s="2">
        <f t="shared" ref="C91:E91" si="37">$B$30</f>
        <v>1</v>
      </c>
      <c r="D91" s="2">
        <f t="shared" si="37"/>
        <v>1</v>
      </c>
      <c r="E91" s="2">
        <f t="shared" si="37"/>
        <v>1</v>
      </c>
      <c r="K91">
        <v>113</v>
      </c>
      <c r="L91">
        <f t="shared" si="2"/>
        <v>33</v>
      </c>
      <c r="M91">
        <f t="shared" si="2"/>
        <v>-28</v>
      </c>
      <c r="N91">
        <f t="shared" si="2"/>
        <v>0</v>
      </c>
      <c r="O91">
        <f t="shared" si="2"/>
        <v>0</v>
      </c>
      <c r="P91">
        <f t="shared" si="3"/>
        <v>5</v>
      </c>
    </row>
    <row r="92" spans="1:16" x14ac:dyDescent="0.35">
      <c r="A92" t="s">
        <v>22</v>
      </c>
      <c r="B92" s="4">
        <f>$B$31</f>
        <v>0.02</v>
      </c>
      <c r="C92" s="4">
        <f t="shared" ref="C92:E92" si="38">$B$31</f>
        <v>0.02</v>
      </c>
      <c r="D92" s="4">
        <f t="shared" si="38"/>
        <v>0.02</v>
      </c>
      <c r="E92" s="4">
        <f t="shared" si="38"/>
        <v>0.02</v>
      </c>
      <c r="K92">
        <v>114</v>
      </c>
      <c r="L92">
        <f t="shared" si="2"/>
        <v>34</v>
      </c>
      <c r="M92">
        <f t="shared" si="2"/>
        <v>-29</v>
      </c>
      <c r="N92">
        <f t="shared" si="2"/>
        <v>0</v>
      </c>
      <c r="O92">
        <f t="shared" si="2"/>
        <v>0</v>
      </c>
      <c r="P92">
        <f t="shared" si="3"/>
        <v>5</v>
      </c>
    </row>
    <row r="93" spans="1:16" x14ac:dyDescent="0.35">
      <c r="A93" t="s">
        <v>35</v>
      </c>
      <c r="B93" s="4">
        <f>$B$32</f>
        <v>0</v>
      </c>
      <c r="C93" s="4">
        <f t="shared" ref="C93:E93" si="39">$B$32</f>
        <v>0</v>
      </c>
      <c r="D93" s="4">
        <f t="shared" si="39"/>
        <v>0</v>
      </c>
      <c r="E93" s="4">
        <f t="shared" si="39"/>
        <v>0</v>
      </c>
      <c r="K93">
        <v>115</v>
      </c>
      <c r="L93">
        <f t="shared" si="2"/>
        <v>35</v>
      </c>
      <c r="M93">
        <f t="shared" si="2"/>
        <v>-30</v>
      </c>
      <c r="N93">
        <f t="shared" si="2"/>
        <v>0</v>
      </c>
      <c r="O93">
        <f t="shared" si="2"/>
        <v>0</v>
      </c>
      <c r="P93">
        <f t="shared" si="3"/>
        <v>5</v>
      </c>
    </row>
    <row r="94" spans="1:16" x14ac:dyDescent="0.35">
      <c r="A94" t="s">
        <v>37</v>
      </c>
      <c r="B94" s="4">
        <f>$B$33</f>
        <v>0.2</v>
      </c>
      <c r="C94" s="4">
        <f t="shared" ref="C94:E94" si="40">$B$33</f>
        <v>0.2</v>
      </c>
      <c r="D94" s="4">
        <f t="shared" si="40"/>
        <v>0.2</v>
      </c>
      <c r="E94" s="4">
        <f t="shared" si="40"/>
        <v>0.2</v>
      </c>
      <c r="K94">
        <v>116</v>
      </c>
      <c r="L94">
        <f t="shared" si="2"/>
        <v>36</v>
      </c>
      <c r="M94">
        <f t="shared" si="2"/>
        <v>-31</v>
      </c>
      <c r="N94">
        <f t="shared" si="2"/>
        <v>-1</v>
      </c>
      <c r="O94">
        <f t="shared" si="2"/>
        <v>0</v>
      </c>
      <c r="P94">
        <f t="shared" si="3"/>
        <v>4</v>
      </c>
    </row>
    <row r="95" spans="1:16" x14ac:dyDescent="0.35">
      <c r="A95" t="s">
        <v>45</v>
      </c>
      <c r="B95" s="2">
        <f xml:space="preserve"> 1 / (B94 * SQRT(B91)) * (LN(B89/B90) + (B92 - B93 + B94^2/2)*B91)</f>
        <v>2.6275390789085042</v>
      </c>
      <c r="C95" s="2">
        <f t="shared" ref="C95" si="41" xml:space="preserve"> 1 / (C94 * SQRT(C91)) * (LN(C89/C90) + (C92 - C93 + C94^2/2)*C91)</f>
        <v>2.3244159698263296</v>
      </c>
      <c r="D95" s="2">
        <f t="shared" ref="D95" si="42" xml:space="preserve"> 1 / (D94 * SQRT(D91)) * (LN(D89/D90) + (D92 - D93 + D94^2/2)*D91)</f>
        <v>0.81301161046166137</v>
      </c>
      <c r="E95" s="2">
        <f t="shared" ref="E95" si="43" xml:space="preserve"> 1 / (E94 * SQRT(E91)) * (LN(E89/E90) + (E92 - E93 + E94^2/2)*E91)</f>
        <v>0.60021353836768188</v>
      </c>
      <c r="K95">
        <v>117</v>
      </c>
      <c r="L95">
        <f t="shared" si="2"/>
        <v>37</v>
      </c>
      <c r="M95">
        <f t="shared" si="2"/>
        <v>-32</v>
      </c>
      <c r="N95">
        <f t="shared" si="2"/>
        <v>-2</v>
      </c>
      <c r="O95">
        <f t="shared" si="2"/>
        <v>0</v>
      </c>
      <c r="P95">
        <f t="shared" si="3"/>
        <v>3</v>
      </c>
    </row>
    <row r="96" spans="1:16" x14ac:dyDescent="0.35">
      <c r="A96" t="s">
        <v>71</v>
      </c>
      <c r="B96" s="9">
        <f>_xlfn.NORM.DIST(B95, 0, 1, TRUE) * EXP(-B93*B91)</f>
        <v>0.99569975187563053</v>
      </c>
      <c r="C96" s="9">
        <f t="shared" ref="C96" si="44">_xlfn.NORM.DIST(C95, 0, 1, TRUE) * EXP(-C93*C91)</f>
        <v>0.98994839476886687</v>
      </c>
      <c r="D96" s="9">
        <f t="shared" ref="D96" si="45">_xlfn.NORM.DIST(D95, 0, 1, TRUE) * EXP(-D93*D91)</f>
        <v>0.79189429927393196</v>
      </c>
      <c r="E96" s="9">
        <f t="shared" ref="E96" si="46">_xlfn.NORM.DIST(E95, 0, 1, TRUE) * EXP(-E93*E91)</f>
        <v>0.72581803392897726</v>
      </c>
      <c r="K96">
        <v>118</v>
      </c>
      <c r="L96">
        <f t="shared" si="2"/>
        <v>38</v>
      </c>
      <c r="M96">
        <f t="shared" si="2"/>
        <v>-33</v>
      </c>
      <c r="N96">
        <f t="shared" si="2"/>
        <v>-3</v>
      </c>
      <c r="O96">
        <f t="shared" si="2"/>
        <v>0</v>
      </c>
      <c r="P96">
        <f t="shared" si="3"/>
        <v>2</v>
      </c>
    </row>
    <row r="97" spans="1:16" x14ac:dyDescent="0.35">
      <c r="A97" t="s">
        <v>72</v>
      </c>
      <c r="B97" s="2">
        <f>EXP(-B93*B91) * B89 *_xlfn.NORM.DIST(B95, 0, 1, 0) * SQRT(B91)</f>
        <v>1.6431499677258379</v>
      </c>
      <c r="C97" s="2">
        <f t="shared" ref="C97:E97" si="47">EXP(-C93*C91) * C89 *_xlfn.NORM.DIST(C95, 0, 1, 0) * SQRT(C91)</f>
        <v>3.4803787248995861</v>
      </c>
      <c r="D97" s="2">
        <f t="shared" si="47"/>
        <v>37.266767503892176</v>
      </c>
      <c r="E97" s="2">
        <f t="shared" si="47"/>
        <v>43.313647557404209</v>
      </c>
      <c r="K97">
        <v>119</v>
      </c>
      <c r="L97">
        <f t="shared" si="2"/>
        <v>39</v>
      </c>
      <c r="M97">
        <f t="shared" si="2"/>
        <v>-34</v>
      </c>
      <c r="N97">
        <f t="shared" si="2"/>
        <v>-4</v>
      </c>
      <c r="O97">
        <f t="shared" si="2"/>
        <v>0</v>
      </c>
      <c r="P97">
        <f t="shared" si="3"/>
        <v>1</v>
      </c>
    </row>
    <row r="98" spans="1:16" x14ac:dyDescent="0.35">
      <c r="K98">
        <v>120</v>
      </c>
      <c r="L98">
        <f t="shared" si="2"/>
        <v>40</v>
      </c>
      <c r="M98">
        <f t="shared" si="2"/>
        <v>-35</v>
      </c>
      <c r="N98">
        <f t="shared" si="2"/>
        <v>-5</v>
      </c>
      <c r="O98">
        <f t="shared" si="2"/>
        <v>0</v>
      </c>
      <c r="P98">
        <f t="shared" si="3"/>
        <v>0</v>
      </c>
    </row>
    <row r="99" spans="1:16" x14ac:dyDescent="0.35">
      <c r="A99" t="s">
        <v>73</v>
      </c>
      <c r="C99" s="18">
        <f>SUMPRODUCT(B96:E96, $B$52:$E$52)</f>
        <v>-6.0324908238191033E-2</v>
      </c>
      <c r="K99">
        <v>121</v>
      </c>
      <c r="L99">
        <f t="shared" si="2"/>
        <v>41</v>
      </c>
      <c r="M99">
        <f t="shared" si="2"/>
        <v>-36</v>
      </c>
      <c r="N99">
        <f t="shared" si="2"/>
        <v>-6</v>
      </c>
      <c r="O99">
        <f t="shared" si="2"/>
        <v>1</v>
      </c>
      <c r="P99">
        <f t="shared" si="3"/>
        <v>0</v>
      </c>
    </row>
    <row r="100" spans="1:16" x14ac:dyDescent="0.35">
      <c r="A100" t="s">
        <v>74</v>
      </c>
      <c r="C100" s="13">
        <f>SUMPRODUCT(B97:E97, $B$52:$E$52)/100</f>
        <v>4.2096512963382862E-2</v>
      </c>
      <c r="D100" t="s">
        <v>76</v>
      </c>
      <c r="K100">
        <v>122</v>
      </c>
      <c r="L100">
        <f t="shared" si="2"/>
        <v>42</v>
      </c>
      <c r="M100">
        <f t="shared" si="2"/>
        <v>-37</v>
      </c>
      <c r="N100">
        <f t="shared" si="2"/>
        <v>-7</v>
      </c>
      <c r="O100">
        <f t="shared" si="2"/>
        <v>2</v>
      </c>
      <c r="P100">
        <f t="shared" si="3"/>
        <v>0</v>
      </c>
    </row>
    <row r="101" spans="1:16" x14ac:dyDescent="0.35">
      <c r="K101">
        <v>123</v>
      </c>
      <c r="L101">
        <f t="shared" si="2"/>
        <v>43</v>
      </c>
      <c r="M101">
        <f t="shared" si="2"/>
        <v>-38</v>
      </c>
      <c r="N101">
        <f t="shared" si="2"/>
        <v>-8</v>
      </c>
      <c r="O101">
        <f t="shared" si="2"/>
        <v>3</v>
      </c>
      <c r="P101">
        <f t="shared" si="3"/>
        <v>0</v>
      </c>
    </row>
    <row r="102" spans="1:16" x14ac:dyDescent="0.35">
      <c r="K102">
        <v>124</v>
      </c>
      <c r="L102">
        <f t="shared" si="2"/>
        <v>44</v>
      </c>
      <c r="M102">
        <f t="shared" si="2"/>
        <v>-39</v>
      </c>
      <c r="N102">
        <f t="shared" si="2"/>
        <v>-9</v>
      </c>
      <c r="O102">
        <f t="shared" si="2"/>
        <v>4</v>
      </c>
      <c r="P102">
        <f t="shared" si="3"/>
        <v>0</v>
      </c>
    </row>
    <row r="103" spans="1:16" x14ac:dyDescent="0.35">
      <c r="K103">
        <v>125</v>
      </c>
      <c r="L103">
        <f t="shared" ref="L103:O118" si="48">L$35*MAX($K103-L$34,0)</f>
        <v>45</v>
      </c>
      <c r="M103">
        <f t="shared" si="48"/>
        <v>-40</v>
      </c>
      <c r="N103">
        <f t="shared" si="48"/>
        <v>-10</v>
      </c>
      <c r="O103">
        <f t="shared" si="48"/>
        <v>5</v>
      </c>
      <c r="P103">
        <f t="shared" ref="P103:P118" si="49">SUM(L103:O103)</f>
        <v>0</v>
      </c>
    </row>
    <row r="104" spans="1:16" x14ac:dyDescent="0.35">
      <c r="K104">
        <v>126</v>
      </c>
      <c r="L104">
        <f t="shared" si="48"/>
        <v>46</v>
      </c>
      <c r="M104">
        <f t="shared" si="48"/>
        <v>-41</v>
      </c>
      <c r="N104">
        <f t="shared" si="48"/>
        <v>-11</v>
      </c>
      <c r="O104">
        <f t="shared" si="48"/>
        <v>6</v>
      </c>
      <c r="P104">
        <f t="shared" si="49"/>
        <v>0</v>
      </c>
    </row>
    <row r="105" spans="1:16" x14ac:dyDescent="0.35">
      <c r="K105">
        <v>127</v>
      </c>
      <c r="L105">
        <f t="shared" si="48"/>
        <v>47</v>
      </c>
      <c r="M105">
        <f t="shared" si="48"/>
        <v>-42</v>
      </c>
      <c r="N105">
        <f t="shared" si="48"/>
        <v>-12</v>
      </c>
      <c r="O105">
        <f t="shared" si="48"/>
        <v>7</v>
      </c>
      <c r="P105">
        <f t="shared" si="49"/>
        <v>0</v>
      </c>
    </row>
    <row r="106" spans="1:16" x14ac:dyDescent="0.35">
      <c r="K106">
        <v>128</v>
      </c>
      <c r="L106">
        <f t="shared" si="48"/>
        <v>48</v>
      </c>
      <c r="M106">
        <f t="shared" si="48"/>
        <v>-43</v>
      </c>
      <c r="N106">
        <f t="shared" si="48"/>
        <v>-13</v>
      </c>
      <c r="O106">
        <f t="shared" si="48"/>
        <v>8</v>
      </c>
      <c r="P106">
        <f t="shared" si="49"/>
        <v>0</v>
      </c>
    </row>
    <row r="107" spans="1:16" x14ac:dyDescent="0.35">
      <c r="K107">
        <v>129</v>
      </c>
      <c r="L107">
        <f t="shared" si="48"/>
        <v>49</v>
      </c>
      <c r="M107">
        <f t="shared" si="48"/>
        <v>-44</v>
      </c>
      <c r="N107">
        <f t="shared" si="48"/>
        <v>-14</v>
      </c>
      <c r="O107">
        <f t="shared" si="48"/>
        <v>9</v>
      </c>
      <c r="P107">
        <f t="shared" si="49"/>
        <v>0</v>
      </c>
    </row>
    <row r="108" spans="1:16" x14ac:dyDescent="0.35">
      <c r="K108">
        <v>130</v>
      </c>
      <c r="L108">
        <f t="shared" si="48"/>
        <v>50</v>
      </c>
      <c r="M108">
        <f t="shared" si="48"/>
        <v>-45</v>
      </c>
      <c r="N108">
        <f t="shared" si="48"/>
        <v>-15</v>
      </c>
      <c r="O108">
        <f t="shared" si="48"/>
        <v>10</v>
      </c>
      <c r="P108">
        <f t="shared" si="49"/>
        <v>0</v>
      </c>
    </row>
    <row r="109" spans="1:16" x14ac:dyDescent="0.35">
      <c r="K109">
        <v>131</v>
      </c>
      <c r="L109">
        <f t="shared" si="48"/>
        <v>51</v>
      </c>
      <c r="M109">
        <f t="shared" si="48"/>
        <v>-46</v>
      </c>
      <c r="N109">
        <f t="shared" si="48"/>
        <v>-16</v>
      </c>
      <c r="O109">
        <f t="shared" si="48"/>
        <v>11</v>
      </c>
      <c r="P109">
        <f t="shared" si="49"/>
        <v>0</v>
      </c>
    </row>
    <row r="110" spans="1:16" x14ac:dyDescent="0.35">
      <c r="K110">
        <v>132</v>
      </c>
      <c r="L110">
        <f t="shared" si="48"/>
        <v>52</v>
      </c>
      <c r="M110">
        <f t="shared" si="48"/>
        <v>-47</v>
      </c>
      <c r="N110">
        <f t="shared" si="48"/>
        <v>-17</v>
      </c>
      <c r="O110">
        <f t="shared" si="48"/>
        <v>12</v>
      </c>
      <c r="P110">
        <f t="shared" si="49"/>
        <v>0</v>
      </c>
    </row>
    <row r="111" spans="1:16" x14ac:dyDescent="0.35">
      <c r="K111">
        <v>133</v>
      </c>
      <c r="L111">
        <f t="shared" si="48"/>
        <v>53</v>
      </c>
      <c r="M111">
        <f t="shared" si="48"/>
        <v>-48</v>
      </c>
      <c r="N111">
        <f t="shared" si="48"/>
        <v>-18</v>
      </c>
      <c r="O111">
        <f t="shared" si="48"/>
        <v>13</v>
      </c>
      <c r="P111">
        <f t="shared" si="49"/>
        <v>0</v>
      </c>
    </row>
    <row r="112" spans="1:16" x14ac:dyDescent="0.35">
      <c r="K112">
        <v>134</v>
      </c>
      <c r="L112">
        <f t="shared" si="48"/>
        <v>54</v>
      </c>
      <c r="M112">
        <f t="shared" si="48"/>
        <v>-49</v>
      </c>
      <c r="N112">
        <f t="shared" si="48"/>
        <v>-19</v>
      </c>
      <c r="O112">
        <f t="shared" si="48"/>
        <v>14</v>
      </c>
      <c r="P112">
        <f t="shared" si="49"/>
        <v>0</v>
      </c>
    </row>
    <row r="113" spans="11:16" x14ac:dyDescent="0.35">
      <c r="K113">
        <v>135</v>
      </c>
      <c r="L113">
        <f t="shared" si="48"/>
        <v>55</v>
      </c>
      <c r="M113">
        <f t="shared" si="48"/>
        <v>-50</v>
      </c>
      <c r="N113">
        <f t="shared" si="48"/>
        <v>-20</v>
      </c>
      <c r="O113">
        <f t="shared" si="48"/>
        <v>15</v>
      </c>
      <c r="P113">
        <f t="shared" si="49"/>
        <v>0</v>
      </c>
    </row>
    <row r="114" spans="11:16" x14ac:dyDescent="0.35">
      <c r="K114">
        <v>136</v>
      </c>
      <c r="L114">
        <f t="shared" si="48"/>
        <v>56</v>
      </c>
      <c r="M114">
        <f t="shared" si="48"/>
        <v>-51</v>
      </c>
      <c r="N114">
        <f t="shared" si="48"/>
        <v>-21</v>
      </c>
      <c r="O114">
        <f t="shared" si="48"/>
        <v>16</v>
      </c>
      <c r="P114">
        <f t="shared" si="49"/>
        <v>0</v>
      </c>
    </row>
    <row r="115" spans="11:16" x14ac:dyDescent="0.35">
      <c r="K115">
        <v>137</v>
      </c>
      <c r="L115">
        <f t="shared" si="48"/>
        <v>57</v>
      </c>
      <c r="M115">
        <f t="shared" si="48"/>
        <v>-52</v>
      </c>
      <c r="N115">
        <f t="shared" si="48"/>
        <v>-22</v>
      </c>
      <c r="O115">
        <f t="shared" si="48"/>
        <v>17</v>
      </c>
      <c r="P115">
        <f t="shared" si="49"/>
        <v>0</v>
      </c>
    </row>
    <row r="116" spans="11:16" x14ac:dyDescent="0.35">
      <c r="K116">
        <v>138</v>
      </c>
      <c r="L116">
        <f t="shared" si="48"/>
        <v>58</v>
      </c>
      <c r="M116">
        <f t="shared" si="48"/>
        <v>-53</v>
      </c>
      <c r="N116">
        <f t="shared" si="48"/>
        <v>-23</v>
      </c>
      <c r="O116">
        <f t="shared" si="48"/>
        <v>18</v>
      </c>
      <c r="P116">
        <f t="shared" si="49"/>
        <v>0</v>
      </c>
    </row>
    <row r="117" spans="11:16" x14ac:dyDescent="0.35">
      <c r="K117">
        <v>139</v>
      </c>
      <c r="L117">
        <f t="shared" si="48"/>
        <v>59</v>
      </c>
      <c r="M117">
        <f t="shared" si="48"/>
        <v>-54</v>
      </c>
      <c r="N117">
        <f t="shared" si="48"/>
        <v>-24</v>
      </c>
      <c r="O117">
        <f t="shared" si="48"/>
        <v>19</v>
      </c>
      <c r="P117">
        <f t="shared" si="49"/>
        <v>0</v>
      </c>
    </row>
    <row r="118" spans="11:16" x14ac:dyDescent="0.35">
      <c r="K118">
        <v>140</v>
      </c>
      <c r="L118">
        <f t="shared" si="48"/>
        <v>60</v>
      </c>
      <c r="M118">
        <f t="shared" si="48"/>
        <v>-55</v>
      </c>
      <c r="N118">
        <f t="shared" si="48"/>
        <v>-25</v>
      </c>
      <c r="O118">
        <f t="shared" si="48"/>
        <v>20</v>
      </c>
      <c r="P118">
        <f t="shared" si="4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3405-4071-4EC5-A3EE-22F80C575734}">
  <dimension ref="A1:K43"/>
  <sheetViews>
    <sheetView workbookViewId="0">
      <selection activeCell="F43" sqref="F43"/>
    </sheetView>
  </sheetViews>
  <sheetFormatPr defaultRowHeight="14.5" x14ac:dyDescent="0.35"/>
  <cols>
    <col min="2" max="2" width="9.81640625" bestFit="1" customWidth="1"/>
    <col min="5" max="5" width="9.453125" bestFit="1" customWidth="1"/>
    <col min="6" max="6" width="9.81640625" bestFit="1" customWidth="1"/>
    <col min="9" max="9" width="10.453125" bestFit="1" customWidth="1"/>
  </cols>
  <sheetData>
    <row r="1" spans="1:1" x14ac:dyDescent="0.35">
      <c r="A1" t="s">
        <v>246</v>
      </c>
    </row>
    <row r="2" spans="1:1" x14ac:dyDescent="0.35">
      <c r="A2" t="s">
        <v>247</v>
      </c>
    </row>
    <row r="3" spans="1:1" x14ac:dyDescent="0.35">
      <c r="A3" t="s">
        <v>248</v>
      </c>
    </row>
    <row r="4" spans="1:1" x14ac:dyDescent="0.35">
      <c r="A4" t="s">
        <v>249</v>
      </c>
    </row>
    <row r="5" spans="1:1" x14ac:dyDescent="0.35">
      <c r="A5" t="s">
        <v>250</v>
      </c>
    </row>
    <row r="6" spans="1:1" x14ac:dyDescent="0.35">
      <c r="A6" t="s">
        <v>251</v>
      </c>
    </row>
    <row r="7" spans="1:1" x14ac:dyDescent="0.35">
      <c r="A7" t="s">
        <v>252</v>
      </c>
    </row>
    <row r="8" spans="1:1" x14ac:dyDescent="0.35">
      <c r="A8" t="s">
        <v>253</v>
      </c>
    </row>
    <row r="9" spans="1:1" x14ac:dyDescent="0.35">
      <c r="A9" t="s">
        <v>254</v>
      </c>
    </row>
    <row r="10" spans="1:1" x14ac:dyDescent="0.35">
      <c r="A10" t="s">
        <v>255</v>
      </c>
    </row>
    <row r="11" spans="1:1" x14ac:dyDescent="0.35">
      <c r="A11" t="s">
        <v>256</v>
      </c>
    </row>
    <row r="12" spans="1:1" x14ac:dyDescent="0.35">
      <c r="A12" t="s">
        <v>257</v>
      </c>
    </row>
    <row r="13" spans="1:1" x14ac:dyDescent="0.35">
      <c r="A13" t="s">
        <v>258</v>
      </c>
    </row>
    <row r="14" spans="1:1" x14ac:dyDescent="0.35">
      <c r="A14" t="s">
        <v>259</v>
      </c>
    </row>
    <row r="15" spans="1:1" x14ac:dyDescent="0.35">
      <c r="A15" t="s">
        <v>260</v>
      </c>
    </row>
    <row r="16" spans="1:1" x14ac:dyDescent="0.35">
      <c r="A16" t="s">
        <v>261</v>
      </c>
    </row>
    <row r="17" spans="1:2" x14ac:dyDescent="0.35">
      <c r="A17" t="s">
        <v>262</v>
      </c>
    </row>
    <row r="18" spans="1:2" x14ac:dyDescent="0.35">
      <c r="A18" t="s">
        <v>263</v>
      </c>
    </row>
    <row r="19" spans="1:2" x14ac:dyDescent="0.35">
      <c r="A19" t="s">
        <v>264</v>
      </c>
    </row>
    <row r="20" spans="1:2" x14ac:dyDescent="0.35">
      <c r="A20" t="s">
        <v>265</v>
      </c>
    </row>
    <row r="22" spans="1:2" x14ac:dyDescent="0.35">
      <c r="A22" t="s">
        <v>80</v>
      </c>
      <c r="B22" s="5">
        <v>100000</v>
      </c>
    </row>
    <row r="23" spans="1:2" x14ac:dyDescent="0.35">
      <c r="A23" t="s">
        <v>18</v>
      </c>
      <c r="B23" s="6">
        <v>1.1000000000000001</v>
      </c>
    </row>
    <row r="24" spans="1:2" x14ac:dyDescent="0.35">
      <c r="A24" t="s">
        <v>34</v>
      </c>
      <c r="B24" s="6">
        <v>1.05</v>
      </c>
    </row>
    <row r="25" spans="1:2" x14ac:dyDescent="0.35">
      <c r="A25" t="s">
        <v>19</v>
      </c>
      <c r="B25" s="6">
        <v>1</v>
      </c>
    </row>
    <row r="26" spans="1:2" x14ac:dyDescent="0.35">
      <c r="A26" t="s">
        <v>22</v>
      </c>
      <c r="B26" s="7">
        <v>0.04</v>
      </c>
    </row>
    <row r="27" spans="1:2" x14ac:dyDescent="0.35">
      <c r="A27" t="s">
        <v>35</v>
      </c>
      <c r="B27" s="7">
        <v>0.02</v>
      </c>
    </row>
    <row r="28" spans="1:2" x14ac:dyDescent="0.35">
      <c r="A28" t="s">
        <v>37</v>
      </c>
      <c r="B28" s="7">
        <v>0.1</v>
      </c>
    </row>
    <row r="30" spans="1:2" x14ac:dyDescent="0.35">
      <c r="A30" t="s">
        <v>45</v>
      </c>
      <c r="B30" s="2">
        <f xml:space="preserve"> 1 / (B28 * SQRT(B25)) * (LN(B23/B24) + (B26 - B27 + B28^2/2)*B25)</f>
        <v>0.71520015634892908</v>
      </c>
    </row>
    <row r="31" spans="1:2" x14ac:dyDescent="0.35">
      <c r="A31" t="s">
        <v>46</v>
      </c>
      <c r="B31" s="2">
        <f xml:space="preserve"> 1 / (B28 * SQRT(B25)) * (LN(B23/B24) + (B26 - B27 - B28^2/2)*B25)</f>
        <v>0.61520015634892911</v>
      </c>
    </row>
    <row r="32" spans="1:2" x14ac:dyDescent="0.35">
      <c r="A32" t="s">
        <v>55</v>
      </c>
      <c r="B32" s="11">
        <f>B24 * EXP(-B26*B25) *_xlfn.NORM.DIST(-B31, 0, 1, 1) - B23 * EXP(-B27*B25) *_xlfn.NORM.DIST(-B30, 0, 1, 1)</f>
        <v>1.5788651748166072E-2</v>
      </c>
    </row>
    <row r="33" spans="1:11" x14ac:dyDescent="0.35">
      <c r="A33" t="s">
        <v>86</v>
      </c>
      <c r="B33" s="3">
        <f>B22/B24</f>
        <v>95238.095238095237</v>
      </c>
    </row>
    <row r="34" spans="1:11" x14ac:dyDescent="0.35">
      <c r="A34" t="s">
        <v>87</v>
      </c>
      <c r="B34" s="3">
        <f>B33*B32</f>
        <v>1503.6811188729591</v>
      </c>
      <c r="C34" t="s">
        <v>96</v>
      </c>
    </row>
    <row r="35" spans="1:11" x14ac:dyDescent="0.35">
      <c r="A35" t="s">
        <v>88</v>
      </c>
      <c r="B35" s="3">
        <f>(B22+B34)*EXP(B26*B25)</f>
        <v>105646.12492871146</v>
      </c>
    </row>
    <row r="36" spans="1:11" x14ac:dyDescent="0.35">
      <c r="A36" t="s">
        <v>89</v>
      </c>
      <c r="B36" s="17">
        <f>(B35/B22 - 1)/B25</f>
        <v>5.6461249287114601E-2</v>
      </c>
      <c r="C36" t="s">
        <v>90</v>
      </c>
    </row>
    <row r="37" spans="1:11" x14ac:dyDescent="0.35">
      <c r="B37" s="10"/>
    </row>
    <row r="38" spans="1:11" x14ac:dyDescent="0.35">
      <c r="C38" s="24" t="s">
        <v>24</v>
      </c>
      <c r="D38" s="24"/>
      <c r="E38" s="24"/>
      <c r="F38" s="24" t="s">
        <v>91</v>
      </c>
      <c r="G38" s="24"/>
      <c r="H38" s="24"/>
      <c r="I38" s="24" t="s">
        <v>92</v>
      </c>
      <c r="J38" s="24"/>
      <c r="K38" s="24"/>
    </row>
    <row r="39" spans="1:11" x14ac:dyDescent="0.35">
      <c r="C39" t="s">
        <v>81</v>
      </c>
      <c r="D39" t="s">
        <v>82</v>
      </c>
      <c r="E39" t="s">
        <v>83</v>
      </c>
      <c r="F39" t="s">
        <v>81</v>
      </c>
      <c r="G39" t="s">
        <v>82</v>
      </c>
      <c r="H39" t="s">
        <v>83</v>
      </c>
      <c r="I39" t="s">
        <v>81</v>
      </c>
      <c r="J39" t="s">
        <v>82</v>
      </c>
      <c r="K39" t="s">
        <v>83</v>
      </c>
    </row>
    <row r="40" spans="1:11" x14ac:dyDescent="0.35">
      <c r="A40" t="s">
        <v>84</v>
      </c>
      <c r="B40" s="2"/>
      <c r="C40" s="3">
        <f>-E40*B32</f>
        <v>1503.6811188729591</v>
      </c>
      <c r="E40" s="3">
        <f>-B22/B24</f>
        <v>-95238.095238095237</v>
      </c>
    </row>
    <row r="41" spans="1:11" x14ac:dyDescent="0.35">
      <c r="A41" t="s">
        <v>93</v>
      </c>
      <c r="B41" s="2"/>
      <c r="C41" s="3">
        <f>-C40-B22</f>
        <v>-101503.68111887296</v>
      </c>
      <c r="F41" s="3">
        <f>-C41*EXP(B26*B25)</f>
        <v>105646.12492871146</v>
      </c>
      <c r="I41" s="3">
        <f>-C41*EXP(B26*B25)</f>
        <v>105646.12492871146</v>
      </c>
    </row>
    <row r="42" spans="1:11" x14ac:dyDescent="0.35">
      <c r="A42" t="s">
        <v>94</v>
      </c>
      <c r="B42" s="2"/>
      <c r="H42" s="3"/>
      <c r="I42" s="3">
        <f>-J42*B24</f>
        <v>-100000</v>
      </c>
      <c r="J42" s="3">
        <f>K42</f>
        <v>95238.095238095237</v>
      </c>
      <c r="K42" s="3">
        <f>-E40</f>
        <v>95238.095238095237</v>
      </c>
    </row>
    <row r="43" spans="1:11" x14ac:dyDescent="0.35">
      <c r="A43" t="s">
        <v>95</v>
      </c>
      <c r="B43" s="2"/>
      <c r="C43" s="3">
        <f>SUM(C40:C41)</f>
        <v>-100000</v>
      </c>
      <c r="F43" s="3">
        <f>F41</f>
        <v>105646.12492871146</v>
      </c>
      <c r="I43" s="3">
        <f>SUM(I41:I42)</f>
        <v>5646.1249287114624</v>
      </c>
      <c r="J43" s="3">
        <f>J42</f>
        <v>95238.095238095237</v>
      </c>
    </row>
  </sheetData>
  <mergeCells count="3">
    <mergeCell ref="C38:E38"/>
    <mergeCell ref="I38:K38"/>
    <mergeCell ref="F38:H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4442-8DEB-4CF2-BCC2-199FFB434995}">
  <dimension ref="A1:Q64"/>
  <sheetViews>
    <sheetView workbookViewId="0"/>
  </sheetViews>
  <sheetFormatPr defaultRowHeight="14.5" x14ac:dyDescent="0.35"/>
  <cols>
    <col min="2" max="3" width="8.81640625" bestFit="1" customWidth="1"/>
    <col min="4" max="4" width="9.453125" bestFit="1" customWidth="1"/>
    <col min="5" max="5" width="9.81640625" bestFit="1" customWidth="1"/>
    <col min="7" max="8" width="8.81640625" bestFit="1" customWidth="1"/>
    <col min="9" max="9" width="9.453125" bestFit="1" customWidth="1"/>
    <col min="14" max="14" width="9.81640625" bestFit="1" customWidth="1"/>
  </cols>
  <sheetData>
    <row r="1" spans="1:1" x14ac:dyDescent="0.35">
      <c r="A1" t="s">
        <v>266</v>
      </c>
    </row>
    <row r="2" spans="1:1" x14ac:dyDescent="0.35">
      <c r="A2" t="s">
        <v>267</v>
      </c>
    </row>
    <row r="3" spans="1:1" x14ac:dyDescent="0.35">
      <c r="A3" t="s">
        <v>268</v>
      </c>
    </row>
    <row r="4" spans="1:1" x14ac:dyDescent="0.35">
      <c r="A4" t="s">
        <v>269</v>
      </c>
    </row>
    <row r="5" spans="1:1" x14ac:dyDescent="0.35">
      <c r="A5" t="s">
        <v>270</v>
      </c>
    </row>
    <row r="6" spans="1:1" x14ac:dyDescent="0.35">
      <c r="A6" t="s">
        <v>271</v>
      </c>
    </row>
    <row r="7" spans="1:1" x14ac:dyDescent="0.35">
      <c r="A7" t="s">
        <v>272</v>
      </c>
    </row>
    <row r="8" spans="1:1" x14ac:dyDescent="0.35">
      <c r="A8" t="s">
        <v>273</v>
      </c>
    </row>
    <row r="9" spans="1:1" x14ac:dyDescent="0.35">
      <c r="A9" t="s">
        <v>274</v>
      </c>
    </row>
    <row r="10" spans="1:1" x14ac:dyDescent="0.35">
      <c r="A10" t="s">
        <v>275</v>
      </c>
    </row>
    <row r="11" spans="1:1" x14ac:dyDescent="0.35">
      <c r="A11" t="s">
        <v>276</v>
      </c>
    </row>
    <row r="12" spans="1:1" x14ac:dyDescent="0.35">
      <c r="A12" t="s">
        <v>277</v>
      </c>
    </row>
    <row r="13" spans="1:1" x14ac:dyDescent="0.35">
      <c r="A13" t="s">
        <v>278</v>
      </c>
    </row>
    <row r="14" spans="1:1" x14ac:dyDescent="0.35">
      <c r="A14" t="s">
        <v>279</v>
      </c>
    </row>
    <row r="15" spans="1:1" x14ac:dyDescent="0.35">
      <c r="A15" t="s">
        <v>280</v>
      </c>
    </row>
    <row r="16" spans="1:1" x14ac:dyDescent="0.35">
      <c r="A16" t="s">
        <v>281</v>
      </c>
    </row>
    <row r="17" spans="1:7" x14ac:dyDescent="0.35">
      <c r="A17" t="s">
        <v>282</v>
      </c>
    </row>
    <row r="19" spans="1:7" x14ac:dyDescent="0.35">
      <c r="A19" t="s">
        <v>80</v>
      </c>
      <c r="B19" s="5">
        <v>100000</v>
      </c>
      <c r="D19" t="s">
        <v>18</v>
      </c>
      <c r="E19" s="5">
        <v>4000</v>
      </c>
    </row>
    <row r="20" spans="1:7" x14ac:dyDescent="0.35">
      <c r="A20" t="s">
        <v>19</v>
      </c>
      <c r="B20" s="6">
        <v>3</v>
      </c>
      <c r="D20" t="s">
        <v>22</v>
      </c>
      <c r="E20" s="7">
        <v>0.04</v>
      </c>
    </row>
    <row r="21" spans="1:7" x14ac:dyDescent="0.35">
      <c r="A21" t="s">
        <v>98</v>
      </c>
      <c r="B21" s="6">
        <v>1</v>
      </c>
      <c r="D21" t="s">
        <v>35</v>
      </c>
      <c r="E21" s="7">
        <v>0.02</v>
      </c>
    </row>
    <row r="22" spans="1:7" x14ac:dyDescent="0.35">
      <c r="A22" t="s">
        <v>99</v>
      </c>
      <c r="B22" s="6">
        <v>2</v>
      </c>
      <c r="D22" t="s">
        <v>37</v>
      </c>
      <c r="E22" s="7">
        <v>0.25</v>
      </c>
    </row>
    <row r="23" spans="1:7" x14ac:dyDescent="0.35">
      <c r="A23" t="s">
        <v>100</v>
      </c>
      <c r="B23" s="6">
        <v>3</v>
      </c>
      <c r="D23" t="s">
        <v>38</v>
      </c>
      <c r="E23" s="5">
        <v>3700</v>
      </c>
    </row>
    <row r="24" spans="1:7" x14ac:dyDescent="0.35">
      <c r="A24" t="s">
        <v>97</v>
      </c>
      <c r="B24" s="7">
        <v>0.03</v>
      </c>
      <c r="D24" t="s">
        <v>39</v>
      </c>
      <c r="E24" s="5">
        <v>4300</v>
      </c>
    </row>
    <row r="26" spans="1:7" x14ac:dyDescent="0.35">
      <c r="A26" t="s">
        <v>101</v>
      </c>
    </row>
    <row r="27" spans="1:7" x14ac:dyDescent="0.35">
      <c r="A27" t="s">
        <v>102</v>
      </c>
    </row>
    <row r="28" spans="1:7" x14ac:dyDescent="0.35">
      <c r="A28" t="str">
        <f>"1. Buy digital calls-" &amp; E23 &amp; " with expirations in 1, 2, 3 years"</f>
        <v>1. Buy digital calls-3700 with expirations in 1, 2, 3 years</v>
      </c>
    </row>
    <row r="29" spans="1:7" x14ac:dyDescent="0.35">
      <c r="A29" t="str">
        <f>"2. Buy digital calls-" &amp; E24 &amp; " with expirations in 1, 2, 3 years"</f>
        <v>2. Buy digital calls-4300 with expirations in 1, 2, 3 years</v>
      </c>
    </row>
    <row r="31" spans="1:7" x14ac:dyDescent="0.35">
      <c r="A31" t="s">
        <v>18</v>
      </c>
      <c r="B31" s="3">
        <f>$E$19</f>
        <v>4000</v>
      </c>
      <c r="C31" s="3">
        <f t="shared" ref="C31:G31" si="0">$E$19</f>
        <v>4000</v>
      </c>
      <c r="D31" s="3">
        <f t="shared" si="0"/>
        <v>4000</v>
      </c>
      <c r="E31" s="3">
        <f t="shared" si="0"/>
        <v>4000</v>
      </c>
      <c r="F31" s="3">
        <f t="shared" si="0"/>
        <v>4000</v>
      </c>
      <c r="G31" s="3">
        <f t="shared" si="0"/>
        <v>4000</v>
      </c>
    </row>
    <row r="32" spans="1:7" x14ac:dyDescent="0.35">
      <c r="A32" t="s">
        <v>34</v>
      </c>
      <c r="B32" s="3">
        <f>$E$23</f>
        <v>3700</v>
      </c>
      <c r="C32" s="3">
        <f>$E$24</f>
        <v>4300</v>
      </c>
      <c r="D32" s="3">
        <f>$E$23</f>
        <v>3700</v>
      </c>
      <c r="E32" s="3">
        <f>$E$24</f>
        <v>4300</v>
      </c>
      <c r="F32" s="3">
        <f>$E$23</f>
        <v>3700</v>
      </c>
      <c r="G32" s="3">
        <f>$E$24</f>
        <v>4300</v>
      </c>
    </row>
    <row r="33" spans="1:7" x14ac:dyDescent="0.35">
      <c r="A33" t="s">
        <v>19</v>
      </c>
      <c r="B33">
        <f>$B$21</f>
        <v>1</v>
      </c>
      <c r="C33">
        <f>$B$21</f>
        <v>1</v>
      </c>
      <c r="D33">
        <f>$B$22</f>
        <v>2</v>
      </c>
      <c r="E33">
        <f>$B$22</f>
        <v>2</v>
      </c>
      <c r="F33">
        <f>$B$23</f>
        <v>3</v>
      </c>
      <c r="G33">
        <f>$B$23</f>
        <v>3</v>
      </c>
    </row>
    <row r="34" spans="1:7" x14ac:dyDescent="0.35">
      <c r="A34" t="s">
        <v>22</v>
      </c>
      <c r="B34" s="4">
        <f>$E$20</f>
        <v>0.04</v>
      </c>
      <c r="C34" s="4">
        <f t="shared" ref="C34:G34" si="1">$E$20</f>
        <v>0.04</v>
      </c>
      <c r="D34" s="4">
        <f t="shared" si="1"/>
        <v>0.04</v>
      </c>
      <c r="E34" s="4">
        <f t="shared" si="1"/>
        <v>0.04</v>
      </c>
      <c r="F34" s="4">
        <f t="shared" si="1"/>
        <v>0.04</v>
      </c>
      <c r="G34" s="4">
        <f t="shared" si="1"/>
        <v>0.04</v>
      </c>
    </row>
    <row r="35" spans="1:7" x14ac:dyDescent="0.35">
      <c r="A35" t="s">
        <v>35</v>
      </c>
      <c r="B35" s="4">
        <f t="shared" ref="B35:G35" si="2">$E$21</f>
        <v>0.02</v>
      </c>
      <c r="C35" s="4">
        <f t="shared" si="2"/>
        <v>0.02</v>
      </c>
      <c r="D35" s="4">
        <f t="shared" si="2"/>
        <v>0.02</v>
      </c>
      <c r="E35" s="4">
        <f t="shared" si="2"/>
        <v>0.02</v>
      </c>
      <c r="F35" s="4">
        <f t="shared" si="2"/>
        <v>0.02</v>
      </c>
      <c r="G35" s="4">
        <f t="shared" si="2"/>
        <v>0.02</v>
      </c>
    </row>
    <row r="36" spans="1:7" x14ac:dyDescent="0.35">
      <c r="A36" t="s">
        <v>37</v>
      </c>
      <c r="B36" s="4">
        <f>$E$22</f>
        <v>0.25</v>
      </c>
      <c r="C36" s="4">
        <f t="shared" ref="C36:G36" si="3">$E$22</f>
        <v>0.25</v>
      </c>
      <c r="D36" s="4">
        <f t="shared" si="3"/>
        <v>0.25</v>
      </c>
      <c r="E36" s="4">
        <f t="shared" si="3"/>
        <v>0.25</v>
      </c>
      <c r="F36" s="4">
        <f t="shared" si="3"/>
        <v>0.25</v>
      </c>
      <c r="G36" s="4">
        <f t="shared" si="3"/>
        <v>0.25</v>
      </c>
    </row>
    <row r="37" spans="1:7" x14ac:dyDescent="0.35">
      <c r="A37" t="s">
        <v>46</v>
      </c>
      <c r="B37" s="2">
        <f xml:space="preserve"> 1 / (B36 * SQRT(B33)) * (LN(B31/B32) + (B34 - B35 - B36^2/2)*B33)</f>
        <v>0.26684616587884769</v>
      </c>
      <c r="C37" s="2">
        <f t="shared" ref="C37:G37" si="4" xml:space="preserve"> 1 / (C36 * SQRT(C33)) * (LN(C31/C32) + (C34 - C35 - C36^2/2)*C33)</f>
        <v>-0.33428264631850452</v>
      </c>
      <c r="D37" s="2">
        <f t="shared" si="4"/>
        <v>0.15686892827316884</v>
      </c>
      <c r="E37" s="2">
        <f t="shared" si="4"/>
        <v>-0.26819333119819344</v>
      </c>
      <c r="F37" s="2">
        <f t="shared" si="4"/>
        <v>0.10210218147530592</v>
      </c>
      <c r="G37" s="2">
        <f t="shared" si="4"/>
        <v>-0.2449597000644754</v>
      </c>
    </row>
    <row r="38" spans="1:7" x14ac:dyDescent="0.35">
      <c r="A38" t="s">
        <v>103</v>
      </c>
      <c r="B38" s="11">
        <f>EXP(-B34*B33)*_xlfn.NORM.DIST(B37, 0, 1, TRUE)</f>
        <v>0.58147572192642138</v>
      </c>
      <c r="C38" s="11">
        <f t="shared" ref="C38:G38" si="5">EXP(-C34*C33)*_xlfn.NORM.DIST(C37, 0, 1, TRUE)</f>
        <v>0.35461118511209766</v>
      </c>
      <c r="D38" s="11">
        <f t="shared" si="5"/>
        <v>0.51909225415657811</v>
      </c>
      <c r="E38" s="11">
        <f t="shared" si="5"/>
        <v>0.36396193192576537</v>
      </c>
      <c r="F38" s="11">
        <f t="shared" si="5"/>
        <v>0.47952436806649867</v>
      </c>
      <c r="G38" s="11">
        <f t="shared" si="5"/>
        <v>0.35764518294427444</v>
      </c>
    </row>
    <row r="39" spans="1:7" x14ac:dyDescent="0.35">
      <c r="A39" t="s">
        <v>48</v>
      </c>
      <c r="B39" s="3">
        <v>1</v>
      </c>
      <c r="C39" s="3">
        <v>-1</v>
      </c>
      <c r="D39" s="3">
        <v>1</v>
      </c>
      <c r="E39" s="3">
        <v>-1</v>
      </c>
      <c r="F39" s="3">
        <v>1</v>
      </c>
      <c r="G39" s="3">
        <v>-1</v>
      </c>
    </row>
    <row r="40" spans="1:7" x14ac:dyDescent="0.35">
      <c r="A40" t="s">
        <v>108</v>
      </c>
      <c r="B40" s="2"/>
      <c r="C40" s="12">
        <f>SUMPRODUCT(B38:G38,B39:G39)</f>
        <v>0.50387404416736081</v>
      </c>
      <c r="D40" s="2"/>
      <c r="E40" s="2"/>
      <c r="F40" s="2"/>
      <c r="G40" s="2"/>
    </row>
    <row r="42" spans="1:7" x14ac:dyDescent="0.35">
      <c r="A42" s="19" t="s">
        <v>104</v>
      </c>
      <c r="C42" s="3">
        <f>B19*EXP(-E20*B20)</f>
        <v>88692.043671715743</v>
      </c>
      <c r="D42" t="s">
        <v>283</v>
      </c>
    </row>
    <row r="43" spans="1:7" x14ac:dyDescent="0.35">
      <c r="A43" t="s">
        <v>105</v>
      </c>
      <c r="B43" t="s">
        <v>98</v>
      </c>
      <c r="C43" s="3">
        <f>$B$19*$B$24*EXP(-$E$20*B21)</f>
        <v>2882.3683174569696</v>
      </c>
      <c r="D43" t="s">
        <v>122</v>
      </c>
    </row>
    <row r="44" spans="1:7" x14ac:dyDescent="0.35">
      <c r="A44" t="s">
        <v>105</v>
      </c>
      <c r="B44" t="s">
        <v>99</v>
      </c>
      <c r="C44" s="3">
        <f t="shared" ref="C44:C45" si="6">$B$19*$B$24*EXP(-$E$20*B22)</f>
        <v>2769.3490391599071</v>
      </c>
      <c r="D44" t="s">
        <v>123</v>
      </c>
    </row>
    <row r="45" spans="1:7" x14ac:dyDescent="0.35">
      <c r="A45" t="s">
        <v>105</v>
      </c>
      <c r="B45" t="s">
        <v>100</v>
      </c>
      <c r="C45" s="3">
        <f t="shared" si="6"/>
        <v>2660.7613101514726</v>
      </c>
      <c r="D45" t="s">
        <v>154</v>
      </c>
    </row>
    <row r="46" spans="1:7" x14ac:dyDescent="0.35">
      <c r="A46" t="s">
        <v>106</v>
      </c>
      <c r="C46" s="3">
        <f>B19-SUM(C42:C45)</f>
        <v>2995.4776615159062</v>
      </c>
      <c r="D46" t="s">
        <v>109</v>
      </c>
    </row>
    <row r="47" spans="1:7" x14ac:dyDescent="0.35">
      <c r="A47" t="s">
        <v>107</v>
      </c>
      <c r="C47" s="3">
        <f>C46 / SUMPRODUCT(B38:G38,B39:G39)</f>
        <v>5944.8937610308103</v>
      </c>
      <c r="D47" t="str">
        <f>"&lt;--- We can buy this # of digital options (buy " &amp; ROUND(C47, 0) &amp; " calls-" &amp; E23 &amp; "-1y, sell " &amp; ROUND(C47, 0) &amp; " calls-" &amp; E24 &amp; "-1y, buy " &amp; ROUND(C47, 0) &amp; " calls-" &amp; E23 &amp; "-2y, etc)"</f>
        <v>&lt;--- We can buy this # of digital options (buy 5945 calls-3700-1y, sell 5945 calls-4300-1y, buy 5945 calls-3700-2y, etc)</v>
      </c>
    </row>
    <row r="48" spans="1:7" x14ac:dyDescent="0.35">
      <c r="A48" t="s">
        <v>85</v>
      </c>
      <c r="C48" s="10">
        <f>C47/B19</f>
        <v>5.9448937610308103E-2</v>
      </c>
    </row>
    <row r="49" spans="1:17" x14ac:dyDescent="0.35">
      <c r="A49" t="s">
        <v>110</v>
      </c>
      <c r="C49" s="17">
        <f>C48+B24</f>
        <v>8.9448937610308102E-2</v>
      </c>
    </row>
    <row r="50" spans="1:17" x14ac:dyDescent="0.35">
      <c r="L50" s="24"/>
      <c r="M50" s="24"/>
      <c r="N50" s="24"/>
      <c r="O50" s="24"/>
      <c r="P50" s="24"/>
      <c r="Q50" s="24"/>
    </row>
    <row r="51" spans="1:17" x14ac:dyDescent="0.35">
      <c r="E51" s="24" t="s">
        <v>24</v>
      </c>
      <c r="F51" s="24"/>
      <c r="G51" s="24"/>
      <c r="H51" s="24"/>
      <c r="I51" s="24"/>
      <c r="J51" s="24"/>
      <c r="K51" s="24"/>
      <c r="L51" s="24" t="s">
        <v>121</v>
      </c>
      <c r="M51" s="24"/>
      <c r="N51" s="24"/>
    </row>
    <row r="52" spans="1:17" x14ac:dyDescent="0.35">
      <c r="E52" t="s">
        <v>81</v>
      </c>
      <c r="F52" t="str">
        <f>"C-" &amp; B32 &amp; "-" &amp; B33 &amp; "Y"</f>
        <v>C-3700-1Y</v>
      </c>
      <c r="G52" t="str">
        <f t="shared" ref="G52:K52" si="7">"C-" &amp; C32 &amp; "-" &amp; C33 &amp; "Y"</f>
        <v>C-4300-1Y</v>
      </c>
      <c r="H52" t="str">
        <f t="shared" si="7"/>
        <v>C-3700-2Y</v>
      </c>
      <c r="I52" t="str">
        <f t="shared" si="7"/>
        <v>C-4300-2Y</v>
      </c>
      <c r="J52" t="str">
        <f t="shared" si="7"/>
        <v>C-3700-3Y</v>
      </c>
      <c r="K52" t="str">
        <f t="shared" si="7"/>
        <v>C-4300-3Y</v>
      </c>
      <c r="L52" t="s">
        <v>112</v>
      </c>
      <c r="M52" t="s">
        <v>113</v>
      </c>
      <c r="N52" t="s">
        <v>111</v>
      </c>
    </row>
    <row r="53" spans="1:17" x14ac:dyDescent="0.35">
      <c r="A53" t="s">
        <v>115</v>
      </c>
      <c r="E53" s="3">
        <f>B19</f>
        <v>100000</v>
      </c>
    </row>
    <row r="54" spans="1:17" x14ac:dyDescent="0.35">
      <c r="A54" t="s">
        <v>114</v>
      </c>
      <c r="E54" s="3">
        <f>-B24*B19*EXP(-E20*B21)</f>
        <v>-2882.3683174569696</v>
      </c>
      <c r="L54" s="3">
        <f>-E54*EXP(E20*B21)</f>
        <v>3000</v>
      </c>
    </row>
    <row r="55" spans="1:17" x14ac:dyDescent="0.35">
      <c r="E55" s="3">
        <f>-B24*B19*EXP(-E20*B22)</f>
        <v>-2769.3490391599071</v>
      </c>
      <c r="M55" s="3">
        <f>-E55*EXP(E20*B22)</f>
        <v>3000</v>
      </c>
    </row>
    <row r="56" spans="1:17" x14ac:dyDescent="0.35">
      <c r="E56" s="3">
        <f>-(1+B24)*B19*EXP(-E20*B23)</f>
        <v>-91352.804981867215</v>
      </c>
      <c r="N56" s="3">
        <f>-E56*EXP(E20*B23)</f>
        <v>103000</v>
      </c>
    </row>
    <row r="57" spans="1:17" x14ac:dyDescent="0.35">
      <c r="A57" t="str">
        <f>"2. Buy calls-" &amp; E23 &amp; " and sell calls-" &amp; E24</f>
        <v>2. Buy calls-3700 and sell calls-4300</v>
      </c>
      <c r="E57" s="3">
        <f>-SUMPRODUCT(F57:K57,B38:G38)</f>
        <v>-2995.4776615159053</v>
      </c>
      <c r="F57" s="3">
        <f>SUM($E$53:$E$56)/$C$40*B39</f>
        <v>5944.8937610308103</v>
      </c>
      <c r="G57" s="3">
        <f t="shared" ref="G57:K57" si="8">SUM($E$53:$E$56)/$C$40*C39</f>
        <v>-5944.8937610308103</v>
      </c>
      <c r="H57" s="3">
        <f t="shared" si="8"/>
        <v>5944.8937610308103</v>
      </c>
      <c r="I57" s="3">
        <f t="shared" si="8"/>
        <v>-5944.8937610308103</v>
      </c>
      <c r="J57" s="3">
        <f t="shared" si="8"/>
        <v>5944.8937610308103</v>
      </c>
      <c r="K57" s="3">
        <f t="shared" si="8"/>
        <v>-5944.8937610308103</v>
      </c>
    </row>
    <row r="59" spans="1:17" x14ac:dyDescent="0.35">
      <c r="A59" t="s">
        <v>118</v>
      </c>
      <c r="F59" t="s">
        <v>119</v>
      </c>
      <c r="K59" t="s">
        <v>120</v>
      </c>
    </row>
    <row r="60" spans="1:17" x14ac:dyDescent="0.35">
      <c r="A60" t="s">
        <v>117</v>
      </c>
      <c r="B60" s="3">
        <v>3500</v>
      </c>
      <c r="C60" s="3">
        <v>4000</v>
      </c>
      <c r="D60" s="3">
        <v>4500</v>
      </c>
      <c r="F60" t="s">
        <v>117</v>
      </c>
      <c r="G60" s="3">
        <v>3500</v>
      </c>
      <c r="H60" s="3">
        <v>4000</v>
      </c>
      <c r="I60" s="3">
        <v>4500</v>
      </c>
      <c r="K60" t="s">
        <v>117</v>
      </c>
      <c r="L60" s="3">
        <v>3500</v>
      </c>
      <c r="M60" s="3">
        <v>4000</v>
      </c>
      <c r="N60" s="3">
        <v>4500</v>
      </c>
    </row>
    <row r="61" spans="1:17" x14ac:dyDescent="0.35">
      <c r="A61" t="s">
        <v>116</v>
      </c>
      <c r="B61" s="3">
        <f>$L$54</f>
        <v>3000</v>
      </c>
      <c r="C61" s="3">
        <f t="shared" ref="C61:D61" si="9">$L$54</f>
        <v>3000</v>
      </c>
      <c r="D61" s="3">
        <f t="shared" si="9"/>
        <v>3000</v>
      </c>
      <c r="F61" t="s">
        <v>116</v>
      </c>
      <c r="G61" s="3">
        <f>$M$55</f>
        <v>3000</v>
      </c>
      <c r="H61" s="3">
        <f t="shared" ref="H61:I61" si="10">$M$55</f>
        <v>3000</v>
      </c>
      <c r="I61" s="3">
        <f t="shared" si="10"/>
        <v>3000</v>
      </c>
      <c r="K61" t="s">
        <v>116</v>
      </c>
      <c r="L61" s="3">
        <f>$N$56</f>
        <v>103000</v>
      </c>
      <c r="M61" s="3">
        <f t="shared" ref="M61:N61" si="11">$N$56</f>
        <v>103000</v>
      </c>
      <c r="N61" s="3">
        <f t="shared" si="11"/>
        <v>103000</v>
      </c>
    </row>
    <row r="62" spans="1:17" x14ac:dyDescent="0.35">
      <c r="A62" t="str">
        <f>"Call-" &amp; $E23</f>
        <v>Call-3700</v>
      </c>
      <c r="B62" s="3">
        <f>$F$57*(B60&gt;$E$23)</f>
        <v>0</v>
      </c>
      <c r="C62" s="3">
        <f t="shared" ref="C62:D62" si="12">$F$57*(C60&gt;$E$23)</f>
        <v>5944.8937610308103</v>
      </c>
      <c r="D62" s="3">
        <f t="shared" si="12"/>
        <v>5944.8937610308103</v>
      </c>
      <c r="F62" t="str">
        <f>"Call-" &amp; $E23</f>
        <v>Call-3700</v>
      </c>
      <c r="G62" s="3">
        <f>$H$57*(G60&gt;$E$23)</f>
        <v>0</v>
      </c>
      <c r="H62" s="3">
        <f t="shared" ref="H62:I62" si="13">$H$57*(H60&gt;$E$23)</f>
        <v>5944.8937610308103</v>
      </c>
      <c r="I62" s="3">
        <f t="shared" si="13"/>
        <v>5944.8937610308103</v>
      </c>
      <c r="K62" t="str">
        <f>"Call-" &amp; $E23</f>
        <v>Call-3700</v>
      </c>
      <c r="L62" s="3">
        <f>$J$57*(L60&gt;$E$23)</f>
        <v>0</v>
      </c>
      <c r="M62" s="3">
        <f t="shared" ref="M62:N62" si="14">$J$57*(M60&gt;$E$23)</f>
        <v>5944.8937610308103</v>
      </c>
      <c r="N62" s="3">
        <f t="shared" si="14"/>
        <v>5944.8937610308103</v>
      </c>
    </row>
    <row r="63" spans="1:17" x14ac:dyDescent="0.35">
      <c r="A63" t="str">
        <f>"Call-" &amp; $E24</f>
        <v>Call-4300</v>
      </c>
      <c r="B63" s="3">
        <f>$G$57*(B60&gt;$E$24)</f>
        <v>0</v>
      </c>
      <c r="C63" s="3">
        <f t="shared" ref="C63:D63" si="15">$G$57*(C60&gt;$E$24)</f>
        <v>0</v>
      </c>
      <c r="D63" s="3">
        <f t="shared" si="15"/>
        <v>-5944.8937610308103</v>
      </c>
      <c r="F63" t="str">
        <f>"Call-" &amp; $E24</f>
        <v>Call-4300</v>
      </c>
      <c r="G63" s="3">
        <f>$I$57*(G60&gt;$E$24)</f>
        <v>0</v>
      </c>
      <c r="H63" s="3">
        <f t="shared" ref="H63:I63" si="16">$I$57*(H60&gt;$E$24)</f>
        <v>0</v>
      </c>
      <c r="I63" s="3">
        <f t="shared" si="16"/>
        <v>-5944.8937610308103</v>
      </c>
      <c r="K63" t="str">
        <f>"Call-" &amp; $E24</f>
        <v>Call-4300</v>
      </c>
      <c r="L63" s="3">
        <f>$K$57*(L60&gt;$E$24)</f>
        <v>0</v>
      </c>
      <c r="M63" s="3">
        <f t="shared" ref="M63:N63" si="17">$K$57*(M60&gt;$E$24)</f>
        <v>0</v>
      </c>
      <c r="N63" s="3">
        <f t="shared" si="17"/>
        <v>-5944.8937610308103</v>
      </c>
    </row>
    <row r="64" spans="1:17" x14ac:dyDescent="0.35">
      <c r="A64" t="s">
        <v>68</v>
      </c>
      <c r="B64" s="16">
        <f>SUM(B61:B63)</f>
        <v>3000</v>
      </c>
      <c r="C64" s="16">
        <f t="shared" ref="C64:D64" si="18">SUM(C61:C63)</f>
        <v>8944.8937610308094</v>
      </c>
      <c r="D64" s="16">
        <f t="shared" si="18"/>
        <v>2999.9999999999991</v>
      </c>
      <c r="F64" t="s">
        <v>68</v>
      </c>
      <c r="G64" s="16">
        <f>SUM(G61:G63)</f>
        <v>3000</v>
      </c>
      <c r="H64" s="16">
        <f t="shared" ref="H64" si="19">SUM(H61:H63)</f>
        <v>8944.8937610308094</v>
      </c>
      <c r="I64" s="16">
        <f t="shared" ref="I64" si="20">SUM(I61:I63)</f>
        <v>2999.9999999999991</v>
      </c>
      <c r="K64" t="s">
        <v>68</v>
      </c>
      <c r="L64" s="16">
        <f>SUM(L61:L63)</f>
        <v>103000</v>
      </c>
      <c r="M64" s="16">
        <f t="shared" ref="M64" si="21">SUM(M61:M63)</f>
        <v>108944.89376103081</v>
      </c>
      <c r="N64" s="16">
        <f t="shared" ref="N64" si="22">SUM(N61:N63)</f>
        <v>103000</v>
      </c>
    </row>
  </sheetData>
  <mergeCells count="3">
    <mergeCell ref="E51:K51"/>
    <mergeCell ref="L50:Q50"/>
    <mergeCell ref="L51:N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AC42-76D3-4522-BEBA-CC554A825469}">
  <dimension ref="A1:F74"/>
  <sheetViews>
    <sheetView workbookViewId="0">
      <selection activeCell="A26" sqref="A26:XFD27"/>
    </sheetView>
  </sheetViews>
  <sheetFormatPr defaultRowHeight="14.5" x14ac:dyDescent="0.35"/>
  <cols>
    <col min="2" max="2" width="9.1796875" customWidth="1"/>
    <col min="3" max="3" width="11.26953125" bestFit="1" customWidth="1"/>
  </cols>
  <sheetData>
    <row r="1" spans="1:1" x14ac:dyDescent="0.35">
      <c r="A1" t="s">
        <v>284</v>
      </c>
    </row>
    <row r="2" spans="1:1" x14ac:dyDescent="0.35">
      <c r="A2" t="s">
        <v>285</v>
      </c>
    </row>
    <row r="3" spans="1:1" x14ac:dyDescent="0.35">
      <c r="A3" t="s">
        <v>286</v>
      </c>
    </row>
    <row r="4" spans="1:1" x14ac:dyDescent="0.35">
      <c r="A4" t="s">
        <v>287</v>
      </c>
    </row>
    <row r="5" spans="1:1" x14ac:dyDescent="0.35">
      <c r="A5" t="s">
        <v>288</v>
      </c>
    </row>
    <row r="6" spans="1:1" x14ac:dyDescent="0.35">
      <c r="A6" t="s">
        <v>289</v>
      </c>
    </row>
    <row r="7" spans="1:1" x14ac:dyDescent="0.35">
      <c r="A7" t="s">
        <v>290</v>
      </c>
    </row>
    <row r="8" spans="1:1" x14ac:dyDescent="0.35">
      <c r="A8" t="s">
        <v>291</v>
      </c>
    </row>
    <row r="9" spans="1:1" x14ac:dyDescent="0.35">
      <c r="A9" t="s">
        <v>292</v>
      </c>
    </row>
    <row r="10" spans="1:1" x14ac:dyDescent="0.35">
      <c r="A10" t="s">
        <v>293</v>
      </c>
    </row>
    <row r="11" spans="1:1" x14ac:dyDescent="0.35">
      <c r="A11" t="s">
        <v>294</v>
      </c>
    </row>
    <row r="12" spans="1:1" x14ac:dyDescent="0.35">
      <c r="A12" t="s">
        <v>295</v>
      </c>
    </row>
    <row r="13" spans="1:1" x14ac:dyDescent="0.35">
      <c r="A13" t="s">
        <v>296</v>
      </c>
    </row>
    <row r="14" spans="1:1" x14ac:dyDescent="0.35">
      <c r="A14" t="s">
        <v>297</v>
      </c>
    </row>
    <row r="15" spans="1:1" x14ac:dyDescent="0.35">
      <c r="A15" t="s">
        <v>298</v>
      </c>
    </row>
    <row r="16" spans="1:1" x14ac:dyDescent="0.35">
      <c r="A16" t="s">
        <v>299</v>
      </c>
    </row>
    <row r="17" spans="1:2" x14ac:dyDescent="0.35">
      <c r="A17" t="s">
        <v>300</v>
      </c>
    </row>
    <row r="18" spans="1:2" x14ac:dyDescent="0.35">
      <c r="A18" t="s">
        <v>301</v>
      </c>
    </row>
    <row r="19" spans="1:2" x14ac:dyDescent="0.35">
      <c r="A19" t="s">
        <v>302</v>
      </c>
    </row>
    <row r="20" spans="1:2" x14ac:dyDescent="0.35">
      <c r="A20" t="s">
        <v>303</v>
      </c>
    </row>
    <row r="21" spans="1:2" x14ac:dyDescent="0.35">
      <c r="A21" t="s">
        <v>304</v>
      </c>
    </row>
    <row r="22" spans="1:2" x14ac:dyDescent="0.35">
      <c r="A22" t="s">
        <v>305</v>
      </c>
    </row>
    <row r="23" spans="1:2" x14ac:dyDescent="0.35">
      <c r="A23" t="s">
        <v>306</v>
      </c>
    </row>
    <row r="24" spans="1:2" x14ac:dyDescent="0.35">
      <c r="A24" t="s">
        <v>307</v>
      </c>
    </row>
    <row r="25" spans="1:2" x14ac:dyDescent="0.35">
      <c r="A25" t="s">
        <v>308</v>
      </c>
    </row>
    <row r="27" spans="1:2" x14ac:dyDescent="0.35">
      <c r="A27" t="s">
        <v>19</v>
      </c>
      <c r="B27" s="6">
        <v>5</v>
      </c>
    </row>
    <row r="28" spans="1:2" x14ac:dyDescent="0.35">
      <c r="A28" t="s">
        <v>124</v>
      </c>
      <c r="B28" s="7">
        <v>0.04</v>
      </c>
    </row>
    <row r="29" spans="1:2" x14ac:dyDescent="0.35">
      <c r="A29" t="s">
        <v>97</v>
      </c>
      <c r="B29" s="7">
        <v>0.06</v>
      </c>
    </row>
    <row r="30" spans="1:2" x14ac:dyDescent="0.35">
      <c r="A30" t="s">
        <v>125</v>
      </c>
      <c r="B30" s="7">
        <v>0.4</v>
      </c>
    </row>
    <row r="31" spans="1:2" x14ac:dyDescent="0.35">
      <c r="A31" t="s">
        <v>126</v>
      </c>
      <c r="B31" s="5">
        <v>1000000</v>
      </c>
    </row>
    <row r="32" spans="1:2" x14ac:dyDescent="0.35">
      <c r="A32" t="s">
        <v>127</v>
      </c>
      <c r="B32" s="23">
        <v>1E-4</v>
      </c>
    </row>
    <row r="33" spans="1:6" x14ac:dyDescent="0.35">
      <c r="B33" s="10"/>
    </row>
    <row r="34" spans="1:6" x14ac:dyDescent="0.35">
      <c r="A34" t="s">
        <v>136</v>
      </c>
    </row>
    <row r="35" spans="1:6" x14ac:dyDescent="0.35">
      <c r="A35" t="s">
        <v>128</v>
      </c>
      <c r="B35" s="9">
        <f>(1 - (1 + B28)^B27 / (1 + B29)^B27)/(1-B30)</f>
        <v>0.15141029190065122</v>
      </c>
    </row>
    <row r="36" spans="1:6" x14ac:dyDescent="0.35">
      <c r="A36" t="s">
        <v>129</v>
      </c>
      <c r="B36" s="10">
        <f>-LN(1-B35)/B27</f>
        <v>3.2835894876311229E-2</v>
      </c>
      <c r="C36" t="s">
        <v>130</v>
      </c>
    </row>
    <row r="37" spans="1:6" x14ac:dyDescent="0.35">
      <c r="A37" t="s">
        <v>19</v>
      </c>
      <c r="B37" t="s">
        <v>131</v>
      </c>
      <c r="C37" t="s">
        <v>117</v>
      </c>
      <c r="D37" t="s">
        <v>132</v>
      </c>
      <c r="E37" t="s">
        <v>133</v>
      </c>
      <c r="F37" t="s">
        <v>134</v>
      </c>
    </row>
    <row r="38" spans="1:6" x14ac:dyDescent="0.35">
      <c r="A38">
        <v>1</v>
      </c>
      <c r="B38" s="12">
        <f>EXP(-$B$28*A38)</f>
        <v>0.96078943915232318</v>
      </c>
      <c r="C38" s="10">
        <f>EXP(-$B$36*A38)</f>
        <v>0.9676973506528842</v>
      </c>
      <c r="D38" s="10">
        <f>1-C38</f>
        <v>3.2302649347115797E-2</v>
      </c>
      <c r="E38" s="12">
        <f>C38*B38</f>
        <v>0.92975339480297359</v>
      </c>
      <c r="F38" s="12">
        <f>(1-$B$30)*D38*B38</f>
        <v>1.8621626609609726E-2</v>
      </c>
    </row>
    <row r="39" spans="1:6" x14ac:dyDescent="0.35">
      <c r="A39">
        <v>2</v>
      </c>
      <c r="B39" s="12">
        <f t="shared" ref="B39:B42" si="0">EXP(-$B$28*A39)</f>
        <v>0.92311634638663576</v>
      </c>
      <c r="C39" s="10">
        <f t="shared" ref="C39:C42" si="1">EXP(-$B$36*A39)</f>
        <v>0.93643816246061118</v>
      </c>
      <c r="D39" s="10">
        <f>C38-C39</f>
        <v>3.1259188192273024E-2</v>
      </c>
      <c r="E39" s="12">
        <f t="shared" ref="E39:E42" si="2">C39*B39</f>
        <v>0.86444137514765429</v>
      </c>
      <c r="F39" s="12">
        <f t="shared" ref="F39:F42" si="3">(1-$B$30)*D39*B39</f>
        <v>1.7313520557038005E-2</v>
      </c>
    </row>
    <row r="40" spans="1:6" x14ac:dyDescent="0.35">
      <c r="A40">
        <v>3</v>
      </c>
      <c r="B40" s="12">
        <f t="shared" si="0"/>
        <v>0.88692043671715748</v>
      </c>
      <c r="C40" s="10">
        <f t="shared" si="1"/>
        <v>0.90618872886338864</v>
      </c>
      <c r="D40" s="10">
        <f t="shared" ref="D40:D42" si="4">C39-C40</f>
        <v>3.0249433597222541E-2</v>
      </c>
      <c r="E40" s="12">
        <f t="shared" si="2"/>
        <v>0.80371730315168244</v>
      </c>
      <c r="F40" s="12">
        <f t="shared" si="3"/>
        <v>1.6097304513897164E-2</v>
      </c>
    </row>
    <row r="41" spans="1:6" x14ac:dyDescent="0.35">
      <c r="A41">
        <v>4</v>
      </c>
      <c r="B41" s="12">
        <f t="shared" si="0"/>
        <v>0.85214378896621135</v>
      </c>
      <c r="C41" s="10">
        <f t="shared" si="1"/>
        <v>0.87691643211260606</v>
      </c>
      <c r="D41" s="10">
        <f t="shared" si="4"/>
        <v>2.9272296750782578E-2</v>
      </c>
      <c r="E41" s="12">
        <f t="shared" si="2"/>
        <v>0.74725889106716759</v>
      </c>
      <c r="F41" s="12">
        <f t="shared" si="3"/>
        <v>1.496652351897311E-2</v>
      </c>
    </row>
    <row r="42" spans="1:6" x14ac:dyDescent="0.35">
      <c r="A42">
        <v>5</v>
      </c>
      <c r="B42" s="12">
        <f t="shared" si="0"/>
        <v>0.81873075307798182</v>
      </c>
      <c r="C42" s="10">
        <f t="shared" si="1"/>
        <v>0.84858970809934875</v>
      </c>
      <c r="D42" s="10">
        <f t="shared" si="4"/>
        <v>2.8326724013257309E-2</v>
      </c>
      <c r="E42" s="12">
        <f t="shared" si="2"/>
        <v>0.69476649076640462</v>
      </c>
      <c r="F42" s="12">
        <f t="shared" si="3"/>
        <v>1.3915176050163786E-2</v>
      </c>
    </row>
    <row r="44" spans="1:6" x14ac:dyDescent="0.35">
      <c r="A44" t="s">
        <v>135</v>
      </c>
      <c r="B44" s="17">
        <f>SUM(F38:F42)/SUM(E38:E42)</f>
        <v>2.00285653310853E-2</v>
      </c>
    </row>
    <row r="46" spans="1:6" x14ac:dyDescent="0.35">
      <c r="A46" t="s">
        <v>137</v>
      </c>
    </row>
    <row r="47" spans="1:6" x14ac:dyDescent="0.35">
      <c r="A47" t="s">
        <v>138</v>
      </c>
      <c r="B47" s="10">
        <f>B29+B32</f>
        <v>6.0100000000000001E-2</v>
      </c>
    </row>
    <row r="48" spans="1:6" x14ac:dyDescent="0.35">
      <c r="A48" t="s">
        <v>128</v>
      </c>
      <c r="B48" s="9">
        <f>(1 - (1 + B28)^B27 / (1 + B47)^B27)/(1-B30)</f>
        <v>0.15212483323225723</v>
      </c>
    </row>
    <row r="49" spans="1:6" x14ac:dyDescent="0.35">
      <c r="A49" t="s">
        <v>129</v>
      </c>
      <c r="B49" s="10">
        <f>-LN(1-B48)/B27</f>
        <v>3.3004372605369134E-2</v>
      </c>
    </row>
    <row r="50" spans="1:6" x14ac:dyDescent="0.35">
      <c r="A50" t="s">
        <v>19</v>
      </c>
      <c r="B50" t="s">
        <v>131</v>
      </c>
      <c r="C50" t="s">
        <v>117</v>
      </c>
      <c r="D50" t="s">
        <v>132</v>
      </c>
      <c r="E50" t="s">
        <v>133</v>
      </c>
      <c r="F50" t="s">
        <v>134</v>
      </c>
    </row>
    <row r="51" spans="1:6" x14ac:dyDescent="0.35">
      <c r="A51">
        <v>1</v>
      </c>
      <c r="B51" s="12">
        <f>EXP(-$B$28*A51)</f>
        <v>0.96078943915232318</v>
      </c>
      <c r="C51" s="10">
        <f>EXP(-$B$49*A51)</f>
        <v>0.96753432893398106</v>
      </c>
      <c r="D51" s="10">
        <f>1-C51</f>
        <v>3.2465671066018942E-2</v>
      </c>
      <c r="E51" s="12">
        <f>C51*B51</f>
        <v>0.929596765257099</v>
      </c>
      <c r="F51" s="12">
        <f>(1-$B$30)*D51*B51</f>
        <v>1.8715604337134487E-2</v>
      </c>
    </row>
    <row r="52" spans="1:6" x14ac:dyDescent="0.35">
      <c r="A52">
        <v>2</v>
      </c>
      <c r="B52" s="12">
        <f t="shared" ref="B52:B55" si="5">EXP(-$B$28*A52)</f>
        <v>0.92311634638663576</v>
      </c>
      <c r="C52" s="10">
        <f t="shared" ref="C52:C55" si="6">EXP(-$B$49*A52)</f>
        <v>0.93612267766572899</v>
      </c>
      <c r="D52" s="10">
        <f>C51-C52</f>
        <v>3.1411651268252072E-2</v>
      </c>
      <c r="E52" s="12">
        <f t="shared" ref="E52:E55" si="7">C52*B52</f>
        <v>0.864150145976462</v>
      </c>
      <c r="F52" s="12">
        <f t="shared" ref="F52:F55" si="8">(1-$B$30)*D52*B52</f>
        <v>1.7397965251631991E-2</v>
      </c>
    </row>
    <row r="53" spans="1:6" x14ac:dyDescent="0.35">
      <c r="A53">
        <v>3</v>
      </c>
      <c r="B53" s="12">
        <f t="shared" si="5"/>
        <v>0.88692043671715748</v>
      </c>
      <c r="C53" s="10">
        <f t="shared" si="6"/>
        <v>0.90573082673519245</v>
      </c>
      <c r="D53" s="10">
        <f t="shared" ref="D53:D55" si="9">C52-C53</f>
        <v>3.0391850930536535E-2</v>
      </c>
      <c r="E53" s="12">
        <f t="shared" si="7"/>
        <v>0.803311180396169</v>
      </c>
      <c r="F53" s="12">
        <f t="shared" si="8"/>
        <v>1.6173092219972526E-2</v>
      </c>
    </row>
    <row r="54" spans="1:6" x14ac:dyDescent="0.35">
      <c r="A54">
        <v>4</v>
      </c>
      <c r="B54" s="12">
        <f t="shared" si="5"/>
        <v>0.85214378896621135</v>
      </c>
      <c r="C54" s="10">
        <f t="shared" si="6"/>
        <v>0.87632566764005426</v>
      </c>
      <c r="D54" s="10">
        <f t="shared" si="9"/>
        <v>2.9405159095138189E-2</v>
      </c>
      <c r="E54" s="12">
        <f t="shared" si="7"/>
        <v>0.74675547479114068</v>
      </c>
      <c r="F54" s="12">
        <f t="shared" si="8"/>
        <v>1.5034454211891184E-2</v>
      </c>
    </row>
    <row r="55" spans="1:6" x14ac:dyDescent="0.35">
      <c r="A55">
        <v>5</v>
      </c>
      <c r="B55" s="12">
        <f t="shared" si="5"/>
        <v>0.81873075307798182</v>
      </c>
      <c r="C55" s="10">
        <f t="shared" si="6"/>
        <v>0.84787516676774277</v>
      </c>
      <c r="D55" s="10">
        <f t="shared" si="9"/>
        <v>2.845050087231149E-2</v>
      </c>
      <c r="E55" s="12">
        <f t="shared" si="7"/>
        <v>0.69418147380387352</v>
      </c>
      <c r="F55" s="12">
        <f t="shared" si="8"/>
        <v>1.3975980002780018E-2</v>
      </c>
    </row>
    <row r="57" spans="1:6" x14ac:dyDescent="0.35">
      <c r="A57" t="s">
        <v>139</v>
      </c>
      <c r="B57" s="17">
        <f>SUM(F51:F55)/SUM(E51:E55)</f>
        <v>2.0133035135893929E-2</v>
      </c>
    </row>
    <row r="59" spans="1:6" x14ac:dyDescent="0.35">
      <c r="A59" t="s">
        <v>140</v>
      </c>
    </row>
    <row r="60" spans="1:6" x14ac:dyDescent="0.35">
      <c r="A60" t="s">
        <v>80</v>
      </c>
      <c r="B60" s="3">
        <f>B31</f>
        <v>1000000</v>
      </c>
    </row>
    <row r="61" spans="1:6" x14ac:dyDescent="0.35">
      <c r="A61" t="s">
        <v>105</v>
      </c>
      <c r="B61" s="10">
        <f>B44</f>
        <v>2.00285653310853E-2</v>
      </c>
      <c r="E61" t="s">
        <v>141</v>
      </c>
      <c r="F61" t="s">
        <v>142</v>
      </c>
    </row>
    <row r="62" spans="1:6" x14ac:dyDescent="0.35">
      <c r="A62" t="s">
        <v>19</v>
      </c>
      <c r="B62" t="s">
        <v>131</v>
      </c>
      <c r="C62" t="s">
        <v>117</v>
      </c>
      <c r="D62" t="s">
        <v>132</v>
      </c>
      <c r="E62" t="s">
        <v>151</v>
      </c>
      <c r="F62" t="s">
        <v>152</v>
      </c>
    </row>
    <row r="63" spans="1:6" x14ac:dyDescent="0.35">
      <c r="A63">
        <v>1</v>
      </c>
      <c r="B63" s="12">
        <f>B51</f>
        <v>0.96078943915232318</v>
      </c>
      <c r="C63" s="9">
        <f>C51</f>
        <v>0.96753432893398106</v>
      </c>
      <c r="D63" s="10">
        <f>1-C63</f>
        <v>3.2465671066018942E-2</v>
      </c>
      <c r="E63" s="3">
        <f>$B$61*$B$60*C63*B63</f>
        <v>18618.489544517375</v>
      </c>
      <c r="F63" s="3">
        <f>$B$60*(1-$B$30)*D63*B63</f>
        <v>18715.604337134489</v>
      </c>
    </row>
    <row r="64" spans="1:6" x14ac:dyDescent="0.35">
      <c r="A64">
        <v>2</v>
      </c>
      <c r="B64" s="12">
        <f t="shared" ref="B64:C67" si="10">B52</f>
        <v>0.92311634638663576</v>
      </c>
      <c r="C64" s="9">
        <f t="shared" si="10"/>
        <v>0.93612267766572899</v>
      </c>
      <c r="D64" s="10">
        <f>C63-C64</f>
        <v>3.1411651268252072E-2</v>
      </c>
      <c r="E64" s="3">
        <f t="shared" ref="E64:E67" si="11">$B$61*$B$60*C64*B64</f>
        <v>17307.68765455647</v>
      </c>
      <c r="F64" s="3">
        <f t="shared" ref="F64:F67" si="12">$B$60*(1-$B$30)*D64*B64</f>
        <v>17397.965251631995</v>
      </c>
    </row>
    <row r="65" spans="1:6" x14ac:dyDescent="0.35">
      <c r="A65">
        <v>3</v>
      </c>
      <c r="B65" s="12">
        <f t="shared" si="10"/>
        <v>0.88692043671715748</v>
      </c>
      <c r="C65" s="9">
        <f t="shared" si="10"/>
        <v>0.90573082673519245</v>
      </c>
      <c r="D65" s="10">
        <f t="shared" ref="D65:D67" si="13">C64-C65</f>
        <v>3.0391850930536535E-2</v>
      </c>
      <c r="E65" s="3">
        <f t="shared" si="11"/>
        <v>16089.170457755919</v>
      </c>
      <c r="F65" s="3">
        <f t="shared" si="12"/>
        <v>16173.092219972528</v>
      </c>
    </row>
    <row r="66" spans="1:6" x14ac:dyDescent="0.35">
      <c r="A66">
        <v>4</v>
      </c>
      <c r="B66" s="12">
        <f t="shared" si="10"/>
        <v>0.85214378896621135</v>
      </c>
      <c r="C66" s="9">
        <f t="shared" si="10"/>
        <v>0.87632566764005426</v>
      </c>
      <c r="D66" s="10">
        <f t="shared" si="13"/>
        <v>2.9405159095138189E-2</v>
      </c>
      <c r="E66" s="3">
        <f t="shared" si="11"/>
        <v>14956.440813199984</v>
      </c>
      <c r="F66" s="3">
        <f t="shared" si="12"/>
        <v>15034.454211891183</v>
      </c>
    </row>
    <row r="67" spans="1:6" x14ac:dyDescent="0.35">
      <c r="A67">
        <v>5</v>
      </c>
      <c r="B67" s="12">
        <f t="shared" si="10"/>
        <v>0.81873075307798182</v>
      </c>
      <c r="C67" s="9">
        <f t="shared" si="10"/>
        <v>0.84787516676774277</v>
      </c>
      <c r="D67" s="10">
        <f t="shared" si="13"/>
        <v>2.845050087231149E-2</v>
      </c>
      <c r="E67" s="3">
        <f t="shared" si="11"/>
        <v>13903.458999709961</v>
      </c>
      <c r="F67" s="3">
        <f t="shared" si="12"/>
        <v>13975.980002780019</v>
      </c>
    </row>
    <row r="69" spans="1:6" x14ac:dyDescent="0.35">
      <c r="A69" t="s">
        <v>144</v>
      </c>
      <c r="C69" s="8">
        <f>SUM(E63:E67)-SUM(F63:F67)</f>
        <v>-421.84855367048294</v>
      </c>
      <c r="D69" t="s">
        <v>153</v>
      </c>
    </row>
    <row r="70" spans="1:6" x14ac:dyDescent="0.35">
      <c r="A70" t="s">
        <v>143</v>
      </c>
      <c r="C70" s="21">
        <f>1/(1+B29+B32)^B27</f>
        <v>0.74690579233244869</v>
      </c>
      <c r="D70" t="s">
        <v>145</v>
      </c>
    </row>
    <row r="71" spans="1:6" x14ac:dyDescent="0.35">
      <c r="A71" t="s">
        <v>146</v>
      </c>
      <c r="C71" s="10">
        <f>1/(1+B29)^B27</f>
        <v>0.74725817286605689</v>
      </c>
    </row>
    <row r="72" spans="1:6" x14ac:dyDescent="0.35">
      <c r="A72" t="s">
        <v>147</v>
      </c>
      <c r="C72" s="22">
        <f>C70-C71</f>
        <v>-3.5238053360819865E-4</v>
      </c>
    </row>
    <row r="73" spans="1:6" x14ac:dyDescent="0.35">
      <c r="A73" t="s">
        <v>148</v>
      </c>
      <c r="C73">
        <v>1</v>
      </c>
    </row>
    <row r="74" spans="1:6" x14ac:dyDescent="0.35">
      <c r="A74" t="s">
        <v>149</v>
      </c>
      <c r="C74" s="20">
        <f>-C69/(C72*C73)</f>
        <v>-1197139.2101344727</v>
      </c>
      <c r="D7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</vt:lpstr>
      <vt:lpstr>Problem1</vt:lpstr>
      <vt:lpstr>Problem2</vt:lpstr>
      <vt:lpstr>Problem3</vt:lpstr>
      <vt:lpstr>Problem4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2023-04-23T08:09:50Z</dcterms:created>
  <dcterms:modified xsi:type="dcterms:W3CDTF">2024-03-03T10:21:55Z</dcterms:modified>
</cp:coreProperties>
</file>