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homework\"/>
    </mc:Choice>
  </mc:AlternateContent>
  <xr:revisionPtr revIDLastSave="0" documentId="13_ncr:1_{3EAE93C1-CB9C-4F3B-9ED1-D40E25344BE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roblem1" sheetId="1" r:id="rId1"/>
    <sheet name="Problem2" sheetId="2" r:id="rId2"/>
    <sheet name="Problem3" sheetId="3" r:id="rId3"/>
    <sheet name="Problem4" sheetId="4" r:id="rId4"/>
    <sheet name="Problem5" sheetId="5" r:id="rId5"/>
    <sheet name="Problem 6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6" l="1"/>
  <c r="C34" i="6"/>
  <c r="B34" i="6"/>
  <c r="C31" i="6"/>
  <c r="B31" i="6"/>
  <c r="C30" i="6"/>
  <c r="B30" i="6"/>
  <c r="A52" i="5"/>
  <c r="A51" i="5"/>
  <c r="B49" i="5"/>
  <c r="B50" i="5" s="1"/>
  <c r="C50" i="5" s="1"/>
  <c r="B45" i="5"/>
  <c r="B43" i="5"/>
  <c r="B52" i="5" s="1"/>
  <c r="E52" i="5" s="1"/>
  <c r="B56" i="4"/>
  <c r="B49" i="4"/>
  <c r="B48" i="4"/>
  <c r="B51" i="4" s="1"/>
  <c r="B46" i="4"/>
  <c r="B45" i="4"/>
  <c r="D44" i="4"/>
  <c r="B14" i="3"/>
  <c r="B16" i="3" s="1"/>
  <c r="B13" i="3"/>
  <c r="F23" i="2"/>
  <c r="D23" i="2"/>
  <c r="B23" i="2"/>
  <c r="B21" i="2"/>
  <c r="D29" i="1"/>
  <c r="C29" i="1"/>
  <c r="E29" i="1" s="1"/>
  <c r="E28" i="1"/>
  <c r="D28" i="1" s="1"/>
  <c r="B27" i="1"/>
  <c r="B26" i="1"/>
  <c r="D26" i="1" s="1"/>
  <c r="B22" i="1"/>
  <c r="C36" i="6" l="1"/>
  <c r="B51" i="5"/>
  <c r="D51" i="5" s="1"/>
  <c r="B30" i="1"/>
  <c r="D30" i="1"/>
  <c r="F50" i="5"/>
  <c r="E30" i="1"/>
  <c r="B57" i="4"/>
  <c r="B52" i="4"/>
  <c r="B53" i="4"/>
  <c r="C44" i="6"/>
  <c r="C38" i="6"/>
  <c r="C40" i="6" s="1"/>
  <c r="B35" i="6"/>
  <c r="B36" i="6" s="1"/>
  <c r="B37" i="6" s="1"/>
  <c r="B38" i="6" s="1"/>
  <c r="B39" i="6" s="1"/>
  <c r="B40" i="6" s="1"/>
  <c r="B41" i="6" s="1"/>
  <c r="C30" i="1"/>
  <c r="B58" i="4"/>
  <c r="C49" i="5"/>
  <c r="B25" i="2"/>
  <c r="D25" i="2"/>
  <c r="F25" i="2"/>
  <c r="C45" i="6" l="1"/>
  <c r="B44" i="6"/>
  <c r="B51" i="6"/>
  <c r="D26" i="2"/>
  <c r="E26" i="2" s="1"/>
  <c r="E27" i="2" s="1"/>
  <c r="B45" i="6"/>
  <c r="F26" i="2"/>
  <c r="G26" i="2" s="1"/>
  <c r="G27" i="2" s="1"/>
  <c r="B26" i="2"/>
  <c r="C26" i="2" s="1"/>
  <c r="C27" i="2" s="1"/>
  <c r="D49" i="5"/>
  <c r="C55" i="5"/>
  <c r="D53" i="5" l="1"/>
  <c r="E53" i="5" s="1"/>
  <c r="B27" i="2"/>
  <c r="D27" i="2"/>
  <c r="F27" i="2"/>
  <c r="E54" i="5" l="1"/>
  <c r="F54" i="5" s="1"/>
  <c r="F55" i="5" s="1"/>
  <c r="B57" i="5"/>
  <c r="D55" i="5"/>
  <c r="E55" i="5" l="1"/>
</calcChain>
</file>

<file path=xl/sharedStrings.xml><?xml version="1.0" encoding="utf-8"?>
<sst xmlns="http://schemas.openxmlformats.org/spreadsheetml/2006/main" count="246" uniqueCount="231">
  <si>
    <t>S (spot)</t>
  </si>
  <si>
    <t>F (forward)</t>
  </si>
  <si>
    <t>T (maturity)</t>
  </si>
  <si>
    <t>r (dollar rate)</t>
  </si>
  <si>
    <t>storage/month</t>
  </si>
  <si>
    <t>Storage rate</t>
  </si>
  <si>
    <t>// F = S * exp((r – a)*T)</t>
  </si>
  <si>
    <t>Step</t>
  </si>
  <si>
    <t>Today</t>
  </si>
  <si>
    <t>At maturity</t>
  </si>
  <si>
    <t>USD</t>
  </si>
  <si>
    <t>XAL</t>
  </si>
  <si>
    <t>1. Borrow USD</t>
  </si>
  <si>
    <t>2. Buy XAL spot</t>
  </si>
  <si>
    <t>3. Sell XAL fwd</t>
  </si>
  <si>
    <t>4. Store XAL</t>
  </si>
  <si>
    <t>Total</t>
  </si>
  <si>
    <t>N, USD</t>
  </si>
  <si>
    <t>F (NDF rate)</t>
  </si>
  <si>
    <t>S1 (scenario 1)</t>
  </si>
  <si>
    <t>S2 (scenario 2)</t>
  </si>
  <si>
    <t>S3 (scenario 3)</t>
  </si>
  <si>
    <t>Buy NDF</t>
  </si>
  <si>
    <t>Payoff</t>
  </si>
  <si>
    <t>INR</t>
  </si>
  <si>
    <t>NDF Payoff</t>
  </si>
  <si>
    <t>Buy USDINR spot</t>
  </si>
  <si>
    <t>T1</t>
  </si>
  <si>
    <t>P1</t>
  </si>
  <si>
    <t>T2</t>
  </si>
  <si>
    <t>P2</t>
  </si>
  <si>
    <t>Yield #1</t>
  </si>
  <si>
    <t>// P1 = exp(-R1*T1)</t>
  </si>
  <si>
    <t>Yield #2</t>
  </si>
  <si>
    <t>// P2 = exp(-R2*T2)</t>
  </si>
  <si>
    <t>Forward rate</t>
  </si>
  <si>
    <t>S0 (spot today)</t>
  </si>
  <si>
    <t>u0 (USD today)</t>
  </si>
  <si>
    <t>u1 (USD nov)</t>
  </si>
  <si>
    <t>r0 (RUB today)</t>
  </si>
  <si>
    <t>r1 (RUB nov)</t>
  </si>
  <si>
    <t>N (sold fwd)</t>
  </si>
  <si>
    <t>Bought future</t>
  </si>
  <si>
    <t>Loss, RUB</t>
  </si>
  <si>
    <t>// negative means a loss</t>
  </si>
  <si>
    <t>PV01 Bump</t>
  </si>
  <si>
    <t>New RUB</t>
  </si>
  <si>
    <t>New F3</t>
  </si>
  <si>
    <t>PV01, RUB</t>
  </si>
  <si>
    <t>// 1bp increase in RUB rate adds 0.64 RUB profit (we are “long” RUB interest rate)</t>
  </si>
  <si>
    <t>𝑃 = 𝑁 * (𝐿6 − 𝐾 )/4 / (1 + 𝐿6 /4)</t>
  </si>
  <si>
    <t>FRA Bid Ask</t>
  </si>
  <si>
    <t>3x6 2.9% 3.1%</t>
  </si>
  <si>
    <t>6x9 3.4% 3.6%</t>
  </si>
  <si>
    <t>N, euro</t>
  </si>
  <si>
    <t>FRA</t>
  </si>
  <si>
    <t>Bid</t>
  </si>
  <si>
    <t>Ask</t>
  </si>
  <si>
    <t>T3</t>
  </si>
  <si>
    <t>3x6</t>
  </si>
  <si>
    <t>L0</t>
  </si>
  <si>
    <t>6x9</t>
  </si>
  <si>
    <t>T9</t>
  </si>
  <si>
    <t>L3</t>
  </si>
  <si>
    <t>// Play around with this number</t>
  </si>
  <si>
    <t>r</t>
  </si>
  <si>
    <t>L6</t>
  </si>
  <si>
    <t>Trade size</t>
  </si>
  <si>
    <t>In 3 months</t>
  </si>
  <si>
    <t>In 6 months</t>
  </si>
  <si>
    <t>In 9 months</t>
  </si>
  <si>
    <t>1. Borrow for 3M</t>
  </si>
  <si>
    <t>2. Deposit for 9M</t>
  </si>
  <si>
    <t>4. Borrow at L3</t>
  </si>
  <si>
    <t>5. Borrow at L6</t>
  </si>
  <si>
    <t>Max 6x9 price</t>
  </si>
  <si>
    <t>3M EURIBOR</t>
  </si>
  <si>
    <t>6M EURIBOR</t>
  </si>
  <si>
    <t>Fixing</t>
  </si>
  <si>
    <t>Swap 1Y</t>
  </si>
  <si>
    <t>Swap 2Y</t>
  </si>
  <si>
    <t>1Y Step</t>
  </si>
  <si>
    <t>// step that makes interpolation linear</t>
  </si>
  <si>
    <t>2Y Step</t>
  </si>
  <si>
    <t>Months</t>
  </si>
  <si>
    <t>3M Euribor</t>
  </si>
  <si>
    <t>6M Euribor</t>
  </si>
  <si>
    <t>1Y Swap</t>
  </si>
  <si>
    <t>2Y Swap</t>
  </si>
  <si>
    <t>3M-6M Basis</t>
  </si>
  <si>
    <t>3M Leg</t>
  </si>
  <si>
    <t>8 * (Euribor 3M + x) * 1 / 4</t>
  </si>
  <si>
    <t>6M Leg</t>
  </si>
  <si>
    <t>4 * EURIBOR 6M * 1 / 2</t>
  </si>
  <si>
    <t>Basis</t>
  </si>
  <si>
    <t>Simple</t>
  </si>
  <si>
    <t>Trader Artem is studying the base metals market. He noticed that the spot</t>
  </si>
  <si>
    <t>price of aluminum is 𝑆 = $2 500 per ton (for delivery today), and the forward</t>
  </si>
  <si>
    <t>price for 6 months (𝑇 = 0.5) is 𝐹 = $2 600 per ton. Risk-free interest rate in</t>
  </si>
  <si>
    <t>dollars is 𝑟 = 5% (continuous compounding). What storage cost for aluminum</t>
  </si>
  <si>
    <t>(continuously compounded interest rate) 𝑎 are market participants embedding</t>
  </si>
  <si>
    <t>into the forward price?</t>
  </si>
  <si>
    <t>Artem estimated that he can store a ton of aluminum in the basement of</t>
  </si>
  <si>
    <t>his rented home for 𝑐 = $2 per month. Let’s assume that Artem can also</t>
  </si>
  <si>
    <t>borrow dollars and deposit dollars at the same interest rate 𝑟 = 5%. Propose</t>
  </si>
  <si>
    <t>an arbitrage strategy that allows Artem to make a risk-free profit. What will</t>
  </si>
  <si>
    <t>be Artem’s profit?</t>
  </si>
  <si>
    <t>Hint: Imagine that you are dealing with a foreign exchange forward on</t>
  </si>
  <si>
    <t>the currency pair XALUSD.</t>
  </si>
  <si>
    <t>An Indian electronics importer has negotiated the delivery of a batch of</t>
  </si>
  <si>
    <t>iPhones. According to the contract, it must pay $10 000 000 to its U.S. supplier</t>
  </si>
  <si>
    <t>in 2 months. Currently, the importer has neither dollars nor the required</t>
  </si>
  <si>
    <t>amount of Indian rupees to buy dollars. Therefore, the importer plans to buy</t>
  </si>
  <si>
    <t>dollars in the spot market in 2 months at an unknown exchange rate.</t>
  </si>
  <si>
    <t>A non-deliverable forward on the USDINR (dollar-rupee) pair is priced</t>
  </si>
  <si>
    <t>at 𝐹 = 85 (85 rupees per dollar). Should the importer buy or sell the nondeliverable</t>
  </si>
  <si>
    <t>forward to hedge its currency risk? Make sure the hedge works in</t>
  </si>
  <si>
    <t>three scenarios: the spot rate in 2 months is 𝑆1 = 75, 𝑆2 = 85, 𝑆3 = 95. In each</t>
  </si>
  <si>
    <t>of these scenarios, calculate how much dollars the importer will earn or lose</t>
  </si>
  <si>
    <t>on the non-deliverable forward, how many dollars it will need to buy from</t>
  </si>
  <si>
    <t>the market, and how many rupees it will ultimately spend.</t>
  </si>
  <si>
    <t>In all three scenarios the company receives 10mm USD and pays 850mm INR</t>
  </si>
  <si>
    <t>Spot in 2 months</t>
  </si>
  <si>
    <t>Non-Deliverable Forward</t>
  </si>
  <si>
    <t>Artem and Aluminum</t>
  </si>
  <si>
    <t>Deferred Deposit</t>
  </si>
  <si>
    <t>A risk-free zero-coupon government bond with a maturity of 𝑇1 = 3 years is</t>
  </si>
  <si>
    <t>currently priced at 𝑃1 = 95% of its face value. Another risk-free zero-coupon</t>
  </si>
  <si>
    <t>bond with a maturity of 𝑇2 = 6 years is priced at 𝑃2 = 92% of its face value.</t>
  </si>
  <si>
    <t>What is the fair continuously compounded interest rate for a deferred deposit</t>
  </si>
  <si>
    <t>that will start in 3 years and end in 6 years?</t>
  </si>
  <si>
    <t>Artem and Imperfect Hedging of a Forward</t>
  </si>
  <si>
    <t>Artem works in a commercial bank but has always dreamed of working in</t>
  </si>
  <si>
    <t>investment banking. Therefore, he came up with the idea of selling forward</t>
  </si>
  <si>
    <t>contracts on the USDRUB currency pair to corporate clients and hedging with</t>
  </si>
  <si>
    <t>futures on Moscow Exchange. To keep it simple, let’s ignore the details that</t>
  </si>
  <si>
    <t>futures on the exchange require margin and are non-deliverable (cash-settled).</t>
  </si>
  <si>
    <t>Suppose the current USDRUB spot rate is 𝑆0 = 75. The interest rates</t>
  </si>
  <si>
    <t>are 𝑢0 = 4% in dollars and 𝑟0 = 8% in rubles (both rates are continuously</t>
  </si>
  <si>
    <t>compounded). Artem sold a forward contract to a client to deliver 𝑁 = $1 000</t>
  </si>
  <si>
    <t>in May 2024 (in 𝑇1 = 8/12 years). Artem, being smart, hedged the currency</t>
  </si>
  <si>
    <t>risk by buying a June 2024 futures contract (expiring in 𝑇2 = 9/12 years) in</t>
  </si>
  <si>
    <t>the same amount $1 000.</t>
  </si>
  <si>
    <t>Artem believes he did everything right, because today May and June seem</t>
  </si>
  <si>
    <t>equally distant. If the current spot rate rises, the loss on the May forward is</t>
  </si>
  <si>
    <t>roughly offset by the profit on the June futures contract.</t>
  </si>
  <si>
    <t>Calculate the fair rates for the May forward 𝐹1 and the June futures 𝐹2.</t>
  </si>
  <si>
    <t>Let’s assume that Artem executed transactions at the fair mid-rate without</t>
  </si>
  <si>
    <t>bid/ask spread and exchange commissions.</t>
  </si>
  <si>
    <t>Suppose it’s now May, and the spot rate 𝑆1 is exactly equal to the forward</t>
  </si>
  <si>
    <t>rate 𝐹1. The profit on the client’s forward is zero: Artem sold a forward to the</t>
  </si>
  <si>
    <t>client at the same rate at which he can buy dollars in the spot market.</t>
  </si>
  <si>
    <t>After settling with the client, Artem needs to close the position on the</t>
  </si>
  <si>
    <t>exchange because otherwise it will fluctuate with the movement of the spot</t>
  </si>
  <si>
    <t>(since there’s no compensating forward anymore). Calculate the fair rate of</t>
  </si>
  <si>
    <t>the same June futures in May when there is 1 month left until expiration,</t>
  </si>
  <si>
    <t>interest rates are the same as at the beginning, and the spot rate 𝑆1 equals the</t>
  </si>
  <si>
    <t>May forward rate 𝐹1, which we calculated earlier.</t>
  </si>
  <si>
    <t>Assume that interest rates have changed. Suppose that by May, the Federal</t>
  </si>
  <si>
    <t>Reserve increased the dollar interest rate by 1% to 𝑢1 = 5%, and the Central</t>
  </si>
  <si>
    <t>Bank of Russia, on the contrary, decreased the ruble interest rate by 2% to</t>
  </si>
  <si>
    <t>𝑟1 = 6%. How much will the June futures cost in May (find futures rate 𝐹3)?</t>
  </si>
  <si>
    <t>How many rubles did Artem lose on the movement of interest rates and on</t>
  </si>
  <si>
    <t>buying the futures at 𝐹2 and selling at 𝐹3? For simplicity, ignore discounting</t>
  </si>
  <si>
    <t>of future rubles from June to May.</t>
  </si>
  <si>
    <t>Calculate the PV01 (price of one basis point): how many rubles Artem</t>
  </si>
  <si>
    <t>earns or loses in May for each 1 basis point (0.01%) increase in the ruble</t>
  </si>
  <si>
    <t>interest rate relative to the initial level 𝑟0?</t>
  </si>
  <si>
    <t>Moral of the story: trading forwards involves interest rate risk, and one</t>
  </si>
  <si>
    <t>should be prepared for it.</t>
  </si>
  <si>
    <t>T1 (May)</t>
  </si>
  <si>
    <t>T2 (June)</t>
  </si>
  <si>
    <t>F1 (May)</t>
  </si>
  <si>
    <t>F2 (June)</t>
  </si>
  <si>
    <t>S1 (spot in May)</t>
  </si>
  <si>
    <t>F3 (June future in May)</t>
  </si>
  <si>
    <t>A Forward Rate Agreement (FRA) is an over-the-counter derivative similar to</t>
  </si>
  <si>
    <t>exchange-traded interest rate futures. For instance, a 6x9 FRA depends on the</t>
  </si>
  <si>
    <t>three-month EURIBOR which will be fixed in six months from today (hence</t>
  </si>
  <si>
    <t>the 6 in the name) and is relevant for deposits maturing in nine months from</t>
  </si>
  <si>
    <t>today (hence the 9 in the name).</t>
  </si>
  <si>
    <t>The parties involved in an FRA must agree on the "price", which is an</t>
  </si>
  <si>
    <t>interest rate (let’s say, 2%), the notional amount (let’s say, 10 000 000 euro),</t>
  </si>
  <si>
    <t>the reference rate (e.g., three-month EURIBOR), and the term (e.g., 6x9). Let’s</t>
  </si>
  <si>
    <t>assume we "bought" a 6x9 FRA at a price of 𝐾 = 2% for a notional amount of</t>
  </si>
  <si>
    <t>𝑁 = 10 000 000. In six months from today, an unknown value of the threemonth</t>
  </si>
  <si>
    <t>EURIBOR 𝐿6 will be published. As the buyer, in six months from today</t>
  </si>
  <si>
    <t>we will receive the following amount from the seller:</t>
  </si>
  <si>
    <t>In other words, we make a profit if the future 𝐿6 turns out to be higher than the</t>
  </si>
  <si>
    <t>price 𝐾 which we negotiated today. For the seller, the situation is reversed</t>
  </si>
  <si>
    <t>— they profit if 𝐿6 turns out to be lower than 𝐾. The current market price of</t>
  </si>
  <si>
    <t>the FRA 𝐾 is the market’s consensus on the future EURIBOR rate.</t>
  </si>
  <si>
    <t>The treasurer of a certain bank borrowed 1 000 000 euro for 3 months</t>
  </si>
  <si>
    <t>(𝑇3 = 0.25) at the current three-month EURIBOR rate 𝐿0 = 2.5%. He deposited</t>
  </si>
  <si>
    <t>the funds for 9 months (𝑇9 = 0.75) at a rete of 𝑟 = 3.5% (simple interest without</t>
  </si>
  <si>
    <t>compounding). The treasurer took on the interest rate risk: in 3 months,</t>
  </si>
  <si>
    <t>the first loan will mature, and he will have to borrow again at the EURIBOR</t>
  </si>
  <si>
    <t>rate prevailing at that time. If the future EURIBOR is very high, the cost of</t>
  </si>
  <si>
    <t>borrowing at the EURIBOR will exceed the gain on the deposit.</t>
  </si>
  <si>
    <t>To hedge this risk, the treasurer entered the over-the-counter FRA market.</t>
  </si>
  <si>
    <t>He found the following data on Bloomberg:</t>
  </si>
  <si>
    <t>To hedge the interest rate risk, should the treasurer buy the FRA (at the ask</t>
  </si>
  <si>
    <t>price) or sell it (at the bid price)? What should be the size of each transaction</t>
  </si>
  <si>
    <t>for 3x6 and 6x9? If the treasurer entered into 3x6 and 6x9 contracts in the</t>
  </si>
  <si>
    <t>right size and at the right prices, what profit will he secure: how many euros</t>
  </si>
  <si>
    <t>will he have in 9 months when the deposit and loans mature?</t>
  </si>
  <si>
    <t>Calculate the breakeven point. Assuming the price of 3x6 does not change,</t>
  </si>
  <si>
    <t>what could be the price of the 6x9 contract for the treasurer to at least break</t>
  </si>
  <si>
    <t>even on his deposit and FRA?</t>
  </si>
  <si>
    <t>Forward Rate Agreement</t>
  </si>
  <si>
    <t>Tenor Basis Swap</t>
  </si>
  <si>
    <t>The table below presents market quotes for swaps on the three-month EURIBOR</t>
  </si>
  <si>
    <t>(one side pays a fixed coupon once a quarter, and the other side pays the</t>
  </si>
  <si>
    <t>three-months EURIBOR), and swaps on the six-months EURIBOR (one side</t>
  </si>
  <si>
    <t>pays a fixed coupon every six months, and the other side pays the six-months</t>
  </si>
  <si>
    <t>EURIBOR).</t>
  </si>
  <si>
    <t>Neglecting discounting and using the assumption of linear interpolation,</t>
  </si>
  <si>
    <t>calculate the "expected" values of the three-months and six-months EURIBORs.</t>
  </si>
  <si>
    <t>A Tenor Basis Swap (3M-6M) is an interest rate swap where both parties</t>
  </si>
  <si>
    <t>make payments that are linked to floating rates. The first party pays the sixmonths</t>
  </si>
  <si>
    <t>EURIBOR every six months. The second party pays the three-months</t>
  </si>
  <si>
    <t>EURIBOR plus 𝑥% every quarter, where 𝑥 is the swap rate that the parties need</t>
  </si>
  <si>
    <t>to agree upon. This 𝑥 is also known as the "basis". An example of such a swap</t>
  </si>
  <si>
    <t>is available in the lecture slides. The swap allows, for instance, transform a</t>
  </si>
  <si>
    <t>loan based on the three-months EURIBOR into a loan based on the six-months</t>
  </si>
  <si>
    <t>EURIBOR.</t>
  </si>
  <si>
    <t>Using the previously calculated "expected" values of EURIBOR, compute</t>
  </si>
  <si>
    <t>the fair basis for a two-year 3M-6M basis swap. Discounting can still be</t>
  </si>
  <si>
    <t>neglected. Do you see a more straightforward way to calculate the basis?</t>
  </si>
  <si>
    <t>Last fixing</t>
  </si>
  <si>
    <t>Cross-check that our fixings reproduce in the same swap rates as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</si>
</sst>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10" fontId="0" fillId="0" borderId="0" xfId="0" applyNumberFormat="1"/>
    <xf numFmtId="10" fontId="0" fillId="9" borderId="0" xfId="0" applyNumberFormat="1" applyFill="1"/>
    <xf numFmtId="0" fontId="0" fillId="0" borderId="2" xfId="0" applyBorder="1" applyAlignment="1">
      <alignment horizontal="right"/>
    </xf>
    <xf numFmtId="0" fontId="0" fillId="0" borderId="2" xfId="0" applyBorder="1"/>
    <xf numFmtId="4" fontId="0" fillId="0" borderId="2" xfId="0" applyNumberFormat="1" applyBorder="1"/>
    <xf numFmtId="4" fontId="0" fillId="9" borderId="2" xfId="0" applyNumberFormat="1" applyFill="1" applyBorder="1"/>
    <xf numFmtId="3" fontId="0" fillId="0" borderId="0" xfId="0" applyNumberFormat="1"/>
    <xf numFmtId="3" fontId="0" fillId="0" borderId="2" xfId="0" applyNumberFormat="1" applyBorder="1"/>
    <xf numFmtId="4" fontId="0" fillId="0" borderId="0" xfId="0" applyNumberFormat="1"/>
    <xf numFmtId="4" fontId="0" fillId="9" borderId="0" xfId="0" applyNumberFormat="1" applyFill="1"/>
    <xf numFmtId="3" fontId="0" fillId="9" borderId="2" xfId="0" applyNumberFormat="1" applyFill="1" applyBorder="1"/>
    <xf numFmtId="164" fontId="0" fillId="9" borderId="0" xfId="0" applyNumberFormat="1" applyFill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5" fillId="0" borderId="0" xfId="0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A2" sqref="A2"/>
    </sheetView>
  </sheetViews>
  <sheetFormatPr defaultRowHeight="14"/>
  <cols>
    <col min="1" max="1" width="13.58203125" customWidth="1"/>
    <col min="2" max="5" width="10.6640625" customWidth="1"/>
  </cols>
  <sheetData>
    <row r="1" spans="1:2">
      <c r="A1" s="15" t="s">
        <v>124</v>
      </c>
    </row>
    <row r="2" spans="1:2">
      <c r="A2" t="s">
        <v>96</v>
      </c>
    </row>
    <row r="3" spans="1:2">
      <c r="A3" t="s">
        <v>97</v>
      </c>
    </row>
    <row r="4" spans="1:2">
      <c r="A4" t="s">
        <v>98</v>
      </c>
    </row>
    <row r="5" spans="1:2">
      <c r="A5" t="s">
        <v>99</v>
      </c>
    </row>
    <row r="6" spans="1:2">
      <c r="A6" t="s">
        <v>100</v>
      </c>
    </row>
    <row r="7" spans="1:2">
      <c r="A7" t="s">
        <v>101</v>
      </c>
    </row>
    <row r="8" spans="1:2">
      <c r="A8" t="s">
        <v>102</v>
      </c>
    </row>
    <row r="9" spans="1:2">
      <c r="A9" t="s">
        <v>103</v>
      </c>
    </row>
    <row r="10" spans="1:2">
      <c r="A10" t="s">
        <v>104</v>
      </c>
    </row>
    <row r="11" spans="1:2">
      <c r="A11" t="s">
        <v>105</v>
      </c>
    </row>
    <row r="12" spans="1:2">
      <c r="A12" t="s">
        <v>106</v>
      </c>
    </row>
    <row r="13" spans="1:2">
      <c r="A13" t="s">
        <v>107</v>
      </c>
    </row>
    <row r="14" spans="1:2">
      <c r="A14" t="s">
        <v>108</v>
      </c>
    </row>
    <row r="16" spans="1:2">
      <c r="A16" t="s">
        <v>0</v>
      </c>
      <c r="B16">
        <v>2500</v>
      </c>
    </row>
    <row r="17" spans="1:5">
      <c r="A17" t="s">
        <v>1</v>
      </c>
      <c r="B17">
        <v>2600</v>
      </c>
    </row>
    <row r="18" spans="1:5">
      <c r="A18" t="s">
        <v>2</v>
      </c>
      <c r="B18">
        <v>0.5</v>
      </c>
    </row>
    <row r="19" spans="1:5">
      <c r="A19" t="s">
        <v>3</v>
      </c>
      <c r="B19" s="1">
        <v>0.05</v>
      </c>
    </row>
    <row r="20" spans="1:5">
      <c r="A20" t="s">
        <v>4</v>
      </c>
      <c r="B20">
        <v>2</v>
      </c>
    </row>
    <row r="22" spans="1:5">
      <c r="A22" t="s">
        <v>5</v>
      </c>
      <c r="B22" s="2">
        <f>B19 - LN(B17/B16) / B18</f>
        <v>-2.8441426306562656E-2</v>
      </c>
      <c r="C22" t="s">
        <v>6</v>
      </c>
    </row>
    <row r="24" spans="1:5">
      <c r="A24" s="13" t="s">
        <v>7</v>
      </c>
      <c r="B24" s="14" t="s">
        <v>8</v>
      </c>
      <c r="C24" s="14"/>
      <c r="D24" s="14" t="s">
        <v>9</v>
      </c>
      <c r="E24" s="14"/>
    </row>
    <row r="25" spans="1:5">
      <c r="A25" s="13"/>
      <c r="B25" s="3" t="s">
        <v>10</v>
      </c>
      <c r="C25" s="3" t="s">
        <v>11</v>
      </c>
      <c r="D25" s="3" t="s">
        <v>10</v>
      </c>
      <c r="E25" s="3" t="s">
        <v>11</v>
      </c>
    </row>
    <row r="26" spans="1:5">
      <c r="A26" s="4" t="s">
        <v>12</v>
      </c>
      <c r="B26" s="5">
        <f>B16</f>
        <v>2500</v>
      </c>
      <c r="C26" s="4"/>
      <c r="D26" s="5">
        <f>-B26*EXP(B19*B18)</f>
        <v>-2563.2878013110721</v>
      </c>
      <c r="E26" s="4"/>
    </row>
    <row r="27" spans="1:5">
      <c r="A27" s="4" t="s">
        <v>13</v>
      </c>
      <c r="B27" s="5">
        <f>-C27*B16</f>
        <v>-2500</v>
      </c>
      <c r="C27" s="5">
        <v>1</v>
      </c>
      <c r="D27" s="4"/>
      <c r="E27" s="4"/>
    </row>
    <row r="28" spans="1:5">
      <c r="A28" s="4" t="s">
        <v>14</v>
      </c>
      <c r="B28" s="4"/>
      <c r="C28" s="4"/>
      <c r="D28" s="5">
        <f>-E28*B17</f>
        <v>2600</v>
      </c>
      <c r="E28" s="5">
        <f>-C27</f>
        <v>-1</v>
      </c>
    </row>
    <row r="29" spans="1:5">
      <c r="A29" s="4" t="s">
        <v>15</v>
      </c>
      <c r="B29" s="4"/>
      <c r="C29" s="5">
        <f>-C27</f>
        <v>-1</v>
      </c>
      <c r="D29" s="5">
        <f>-B20*12*B18</f>
        <v>-12</v>
      </c>
      <c r="E29" s="5">
        <f>-C29</f>
        <v>1</v>
      </c>
    </row>
    <row r="30" spans="1:5">
      <c r="A30" s="4" t="s">
        <v>16</v>
      </c>
      <c r="B30" s="4">
        <f>SUM(B26:B29)</f>
        <v>0</v>
      </c>
      <c r="C30" s="4">
        <f>SUM(C26:C29)</f>
        <v>0</v>
      </c>
      <c r="D30" s="6">
        <f>SUM(D26:D29)</f>
        <v>24.712198688927856</v>
      </c>
      <c r="E30" s="4">
        <f>SUM(E26:E29)</f>
        <v>0</v>
      </c>
    </row>
  </sheetData>
  <mergeCells count="3">
    <mergeCell ref="A24:A25"/>
    <mergeCell ref="B24:C24"/>
    <mergeCell ref="D24:E24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A2" sqref="A2"/>
    </sheetView>
  </sheetViews>
  <sheetFormatPr defaultRowHeight="14"/>
  <cols>
    <col min="1" max="1" width="14.5" customWidth="1"/>
    <col min="2" max="2" width="10.6640625" customWidth="1"/>
    <col min="3" max="3" width="11.33203125" bestFit="1" customWidth="1"/>
    <col min="4" max="4" width="10.6640625" customWidth="1"/>
    <col min="5" max="5" width="11.33203125" bestFit="1" customWidth="1"/>
    <col min="6" max="6" width="10.6640625" customWidth="1"/>
    <col min="7" max="7" width="11.33203125" bestFit="1" customWidth="1"/>
  </cols>
  <sheetData>
    <row r="1" spans="1:2">
      <c r="A1" s="15" t="s">
        <v>123</v>
      </c>
    </row>
    <row r="2" spans="1:2">
      <c r="A2" t="s">
        <v>109</v>
      </c>
    </row>
    <row r="3" spans="1:2">
      <c r="A3" t="s">
        <v>110</v>
      </c>
    </row>
    <row r="4" spans="1:2">
      <c r="A4" t="s">
        <v>111</v>
      </c>
    </row>
    <row r="5" spans="1:2">
      <c r="A5" t="s">
        <v>112</v>
      </c>
    </row>
    <row r="6" spans="1:2">
      <c r="A6" t="s">
        <v>113</v>
      </c>
    </row>
    <row r="7" spans="1:2">
      <c r="A7" t="s">
        <v>114</v>
      </c>
    </row>
    <row r="8" spans="1:2">
      <c r="A8" t="s">
        <v>115</v>
      </c>
    </row>
    <row r="9" spans="1:2">
      <c r="A9" t="s">
        <v>116</v>
      </c>
    </row>
    <row r="10" spans="1:2">
      <c r="A10" t="s">
        <v>117</v>
      </c>
    </row>
    <row r="11" spans="1:2">
      <c r="A11" t="s">
        <v>118</v>
      </c>
    </row>
    <row r="12" spans="1:2">
      <c r="A12" t="s">
        <v>119</v>
      </c>
    </row>
    <row r="13" spans="1:2">
      <c r="A13" t="s">
        <v>120</v>
      </c>
    </row>
    <row r="15" spans="1:2">
      <c r="A15" t="s">
        <v>17</v>
      </c>
      <c r="B15" s="7">
        <v>10000000</v>
      </c>
    </row>
    <row r="16" spans="1:2">
      <c r="A16" t="s">
        <v>18</v>
      </c>
      <c r="B16">
        <v>85</v>
      </c>
    </row>
    <row r="17" spans="1:7">
      <c r="A17" t="s">
        <v>19</v>
      </c>
      <c r="B17">
        <v>75</v>
      </c>
    </row>
    <row r="18" spans="1:7">
      <c r="A18" t="s">
        <v>20</v>
      </c>
      <c r="B18">
        <v>85</v>
      </c>
    </row>
    <row r="19" spans="1:7">
      <c r="A19" t="s">
        <v>21</v>
      </c>
      <c r="B19">
        <v>95</v>
      </c>
    </row>
    <row r="21" spans="1:7">
      <c r="A21" t="s">
        <v>22</v>
      </c>
      <c r="B21" s="7">
        <f>B15</f>
        <v>10000000</v>
      </c>
    </row>
    <row r="23" spans="1:7">
      <c r="A23" s="4" t="s">
        <v>122</v>
      </c>
      <c r="B23" s="14">
        <f>B17</f>
        <v>75</v>
      </c>
      <c r="C23" s="14"/>
      <c r="D23" s="14">
        <f>B18</f>
        <v>85</v>
      </c>
      <c r="E23" s="14"/>
      <c r="F23" s="14">
        <f>B19</f>
        <v>95</v>
      </c>
      <c r="G23" s="14"/>
    </row>
    <row r="24" spans="1:7">
      <c r="A24" s="4" t="s">
        <v>23</v>
      </c>
      <c r="B24" s="4" t="s">
        <v>10</v>
      </c>
      <c r="C24" s="4" t="s">
        <v>24</v>
      </c>
      <c r="D24" s="4" t="s">
        <v>10</v>
      </c>
      <c r="E24" s="4" t="s">
        <v>24</v>
      </c>
      <c r="F24" s="4" t="s">
        <v>10</v>
      </c>
      <c r="G24" s="4" t="s">
        <v>24</v>
      </c>
    </row>
    <row r="25" spans="1:7">
      <c r="A25" s="4" t="s">
        <v>25</v>
      </c>
      <c r="B25" s="8">
        <f>$B$21*(B23 - $B$16)/B23</f>
        <v>-1333333.3333333333</v>
      </c>
      <c r="C25" s="4"/>
      <c r="D25" s="8">
        <f>$B$21*(D23 - $B$16)/D23</f>
        <v>0</v>
      </c>
      <c r="E25" s="4"/>
      <c r="F25" s="8">
        <f>$B$21*(F23 - $B$16)/F23</f>
        <v>1052631.5789473683</v>
      </c>
      <c r="G25" s="4"/>
    </row>
    <row r="26" spans="1:7">
      <c r="A26" s="4" t="s">
        <v>26</v>
      </c>
      <c r="B26" s="8">
        <f>$B$21-B25</f>
        <v>11333333.333333334</v>
      </c>
      <c r="C26" s="8">
        <f>-B26*B23</f>
        <v>-850000000</v>
      </c>
      <c r="D26" s="8">
        <f>$B$21-D25</f>
        <v>10000000</v>
      </c>
      <c r="E26" s="8">
        <f>-D26*D23</f>
        <v>-850000000</v>
      </c>
      <c r="F26" s="8">
        <f>$B$21-F25</f>
        <v>8947368.421052631</v>
      </c>
      <c r="G26" s="8">
        <f>-F26*F23</f>
        <v>-850000000</v>
      </c>
    </row>
    <row r="27" spans="1:7">
      <c r="A27" s="4" t="s">
        <v>16</v>
      </c>
      <c r="B27" s="8">
        <f t="shared" ref="B27:G27" si="0">SUM(B25:B26)</f>
        <v>10000000</v>
      </c>
      <c r="C27" s="8">
        <f t="shared" si="0"/>
        <v>-850000000</v>
      </c>
      <c r="D27" s="8">
        <f t="shared" si="0"/>
        <v>10000000</v>
      </c>
      <c r="E27" s="8">
        <f t="shared" si="0"/>
        <v>-850000000</v>
      </c>
      <c r="F27" s="8">
        <f t="shared" si="0"/>
        <v>10000000</v>
      </c>
      <c r="G27" s="8">
        <f t="shared" si="0"/>
        <v>-850000000</v>
      </c>
    </row>
    <row r="29" spans="1:7">
      <c r="A29" t="s">
        <v>121</v>
      </c>
    </row>
  </sheetData>
  <mergeCells count="3">
    <mergeCell ref="B23:C23"/>
    <mergeCell ref="D23:E23"/>
    <mergeCell ref="F23:G23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16" sqref="B16"/>
    </sheetView>
  </sheetViews>
  <sheetFormatPr defaultRowHeight="14"/>
  <cols>
    <col min="1" max="3" width="10.6640625" customWidth="1"/>
  </cols>
  <sheetData>
    <row r="1" spans="1:3">
      <c r="A1" s="15" t="s">
        <v>125</v>
      </c>
    </row>
    <row r="2" spans="1:3">
      <c r="A2" t="s">
        <v>126</v>
      </c>
    </row>
    <row r="3" spans="1:3">
      <c r="A3" t="s">
        <v>127</v>
      </c>
    </row>
    <row r="4" spans="1:3">
      <c r="A4" t="s">
        <v>128</v>
      </c>
    </row>
    <row r="5" spans="1:3">
      <c r="A5" t="s">
        <v>129</v>
      </c>
    </row>
    <row r="6" spans="1:3">
      <c r="A6" t="s">
        <v>130</v>
      </c>
    </row>
    <row r="8" spans="1:3">
      <c r="A8" t="s">
        <v>27</v>
      </c>
      <c r="B8">
        <v>3</v>
      </c>
    </row>
    <row r="9" spans="1:3">
      <c r="A9" t="s">
        <v>28</v>
      </c>
      <c r="B9" s="1">
        <v>0.95</v>
      </c>
    </row>
    <row r="10" spans="1:3">
      <c r="A10" t="s">
        <v>29</v>
      </c>
      <c r="B10">
        <v>6</v>
      </c>
    </row>
    <row r="11" spans="1:3">
      <c r="A11" t="s">
        <v>30</v>
      </c>
      <c r="B11" s="1">
        <v>0.92</v>
      </c>
    </row>
    <row r="13" spans="1:3">
      <c r="A13" t="s">
        <v>31</v>
      </c>
      <c r="B13" s="1">
        <f>-LN(B9)/B8</f>
        <v>1.7097764795850193E-2</v>
      </c>
      <c r="C13" t="s">
        <v>32</v>
      </c>
    </row>
    <row r="14" spans="1:3">
      <c r="A14" t="s">
        <v>33</v>
      </c>
      <c r="B14" s="1">
        <f>-LN(B11)/B10</f>
        <v>1.3896934823175168E-2</v>
      </c>
      <c r="C14" t="s">
        <v>34</v>
      </c>
    </row>
    <row r="16" spans="1:3">
      <c r="A16" t="s">
        <v>35</v>
      </c>
      <c r="B16" s="2">
        <f>(B14*B10 - B13*B8)/(B10-B8)</f>
        <v>1.0696104850500146E-2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"/>
  <sheetViews>
    <sheetView workbookViewId="0"/>
  </sheetViews>
  <sheetFormatPr defaultRowHeight="14"/>
  <cols>
    <col min="1" max="4" width="10.6640625" customWidth="1"/>
  </cols>
  <sheetData>
    <row r="1" spans="1:1">
      <c r="A1" s="15" t="s">
        <v>131</v>
      </c>
    </row>
    <row r="2" spans="1:1">
      <c r="A2" t="s">
        <v>132</v>
      </c>
    </row>
    <row r="3" spans="1:1">
      <c r="A3" t="s">
        <v>133</v>
      </c>
    </row>
    <row r="4" spans="1:1">
      <c r="A4" t="s">
        <v>134</v>
      </c>
    </row>
    <row r="5" spans="1:1">
      <c r="A5" t="s">
        <v>135</v>
      </c>
    </row>
    <row r="6" spans="1:1">
      <c r="A6" t="s">
        <v>136</v>
      </c>
    </row>
    <row r="7" spans="1:1">
      <c r="A7" t="s">
        <v>137</v>
      </c>
    </row>
    <row r="8" spans="1:1">
      <c r="A8" t="s">
        <v>138</v>
      </c>
    </row>
    <row r="9" spans="1:1">
      <c r="A9" t="s">
        <v>139</v>
      </c>
    </row>
    <row r="10" spans="1:1">
      <c r="A10" t="s">
        <v>140</v>
      </c>
    </row>
    <row r="11" spans="1:1">
      <c r="A11" t="s">
        <v>141</v>
      </c>
    </row>
    <row r="12" spans="1:1">
      <c r="A12" t="s">
        <v>142</v>
      </c>
    </row>
    <row r="13" spans="1:1">
      <c r="A13" t="s">
        <v>143</v>
      </c>
    </row>
    <row r="14" spans="1:1">
      <c r="A14" t="s">
        <v>144</v>
      </c>
    </row>
    <row r="15" spans="1:1">
      <c r="A15" t="s">
        <v>145</v>
      </c>
    </row>
    <row r="16" spans="1:1">
      <c r="A16" t="s">
        <v>146</v>
      </c>
    </row>
    <row r="17" spans="1:1">
      <c r="A17" t="s">
        <v>147</v>
      </c>
    </row>
    <row r="18" spans="1:1">
      <c r="A18" t="s">
        <v>148</v>
      </c>
    </row>
    <row r="19" spans="1:1">
      <c r="A19" t="s">
        <v>149</v>
      </c>
    </row>
    <row r="20" spans="1:1">
      <c r="A20" t="s">
        <v>150</v>
      </c>
    </row>
    <row r="21" spans="1:1">
      <c r="A21" t="s">
        <v>151</v>
      </c>
    </row>
    <row r="22" spans="1:1">
      <c r="A22" t="s">
        <v>152</v>
      </c>
    </row>
    <row r="23" spans="1:1">
      <c r="A23" t="s">
        <v>153</v>
      </c>
    </row>
    <row r="24" spans="1:1">
      <c r="A24" t="s">
        <v>154</v>
      </c>
    </row>
    <row r="25" spans="1:1">
      <c r="A25" t="s">
        <v>155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160</v>
      </c>
    </row>
    <row r="31" spans="1:1">
      <c r="A31" t="s">
        <v>161</v>
      </c>
    </row>
    <row r="32" spans="1:1">
      <c r="A32" t="s">
        <v>162</v>
      </c>
    </row>
    <row r="33" spans="1:4">
      <c r="A33" t="s">
        <v>163</v>
      </c>
    </row>
    <row r="34" spans="1:4">
      <c r="A34" t="s">
        <v>164</v>
      </c>
    </row>
    <row r="35" spans="1:4">
      <c r="A35" t="s">
        <v>165</v>
      </c>
    </row>
    <row r="36" spans="1:4">
      <c r="A36" t="s">
        <v>166</v>
      </c>
    </row>
    <row r="37" spans="1:4">
      <c r="A37" t="s">
        <v>167</v>
      </c>
    </row>
    <row r="38" spans="1:4">
      <c r="A38" t="s">
        <v>168</v>
      </c>
    </row>
    <row r="39" spans="1:4">
      <c r="A39" t="s">
        <v>169</v>
      </c>
    </row>
    <row r="41" spans="1:4">
      <c r="A41" t="s">
        <v>36</v>
      </c>
      <c r="B41">
        <v>75</v>
      </c>
    </row>
    <row r="42" spans="1:4">
      <c r="A42" t="s">
        <v>37</v>
      </c>
      <c r="B42" s="1">
        <v>0.04</v>
      </c>
      <c r="C42" t="s">
        <v>38</v>
      </c>
      <c r="D42" s="1">
        <v>0.05</v>
      </c>
    </row>
    <row r="43" spans="1:4">
      <c r="A43" t="s">
        <v>39</v>
      </c>
      <c r="B43" s="1">
        <v>0.08</v>
      </c>
      <c r="C43" t="s">
        <v>40</v>
      </c>
      <c r="D43" s="1">
        <v>0.06</v>
      </c>
    </row>
    <row r="44" spans="1:4">
      <c r="A44" t="s">
        <v>41</v>
      </c>
      <c r="B44" s="9">
        <v>-1000</v>
      </c>
      <c r="C44" t="s">
        <v>42</v>
      </c>
      <c r="D44">
        <f>-B44</f>
        <v>1000</v>
      </c>
    </row>
    <row r="45" spans="1:4">
      <c r="A45" t="s">
        <v>170</v>
      </c>
      <c r="B45" s="9">
        <f>8/12</f>
        <v>0.66666666666666663</v>
      </c>
    </row>
    <row r="46" spans="1:4">
      <c r="A46" t="s">
        <v>171</v>
      </c>
      <c r="B46">
        <f>9/12</f>
        <v>0.75</v>
      </c>
    </row>
    <row r="48" spans="1:4">
      <c r="A48" t="s">
        <v>172</v>
      </c>
      <c r="B48" s="10">
        <f>B41*EXP((B43-B42)*B45)</f>
        <v>77.026905292416203</v>
      </c>
    </row>
    <row r="49" spans="1:3">
      <c r="A49" t="s">
        <v>173</v>
      </c>
      <c r="B49" s="10">
        <f>B41*EXP((B43-B42)*B46)</f>
        <v>77.284090046513768</v>
      </c>
    </row>
    <row r="51" spans="1:3">
      <c r="A51" t="s">
        <v>174</v>
      </c>
      <c r="B51" s="9">
        <f>B48</f>
        <v>77.026905292416203</v>
      </c>
    </row>
    <row r="52" spans="1:3">
      <c r="A52" t="s">
        <v>175</v>
      </c>
      <c r="B52" s="10">
        <f>B51*EXP((D43-D42)*(B46-B45))</f>
        <v>77.091121133043956</v>
      </c>
    </row>
    <row r="53" spans="1:3">
      <c r="A53" t="s">
        <v>43</v>
      </c>
      <c r="B53" s="10">
        <f>D44*(B52 - B49)</f>
        <v>-192.96891346981226</v>
      </c>
      <c r="C53" t="s">
        <v>44</v>
      </c>
    </row>
    <row r="55" spans="1:3">
      <c r="A55" t="s">
        <v>45</v>
      </c>
      <c r="B55" s="1">
        <v>1E-4</v>
      </c>
    </row>
    <row r="56" spans="1:3">
      <c r="A56" t="s">
        <v>46</v>
      </c>
      <c r="B56" s="1">
        <f>B43+B55</f>
        <v>8.0100000000000005E-2</v>
      </c>
    </row>
    <row r="57" spans="1:3">
      <c r="A57" t="s">
        <v>47</v>
      </c>
      <c r="B57" s="9">
        <f>B51*EXP((B56-B42)*(B46-B45))</f>
        <v>77.284734083280966</v>
      </c>
    </row>
    <row r="58" spans="1:3">
      <c r="A58" t="s">
        <v>48</v>
      </c>
      <c r="B58" s="10">
        <f>D44*(B57-B49)</f>
        <v>0.6440367671984859</v>
      </c>
      <c r="C58" t="s">
        <v>49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7"/>
  <sheetViews>
    <sheetView topLeftCell="A19" workbookViewId="0">
      <selection activeCell="A2" sqref="A2"/>
    </sheetView>
  </sheetViews>
  <sheetFormatPr defaultRowHeight="14"/>
  <cols>
    <col min="1" max="1" width="15" customWidth="1"/>
    <col min="2" max="6" width="10.6640625" customWidth="1"/>
  </cols>
  <sheetData>
    <row r="1" spans="1:1">
      <c r="A1" s="15" t="s">
        <v>209</v>
      </c>
    </row>
    <row r="2" spans="1:1">
      <c r="A2" t="s">
        <v>176</v>
      </c>
    </row>
    <row r="3" spans="1:1">
      <c r="A3" t="s">
        <v>177</v>
      </c>
    </row>
    <row r="4" spans="1:1">
      <c r="A4" t="s">
        <v>178</v>
      </c>
    </row>
    <row r="5" spans="1:1">
      <c r="A5" t="s">
        <v>179</v>
      </c>
    </row>
    <row r="6" spans="1:1">
      <c r="A6" t="s">
        <v>180</v>
      </c>
    </row>
    <row r="7" spans="1:1">
      <c r="A7" t="s">
        <v>181</v>
      </c>
    </row>
    <row r="8" spans="1:1">
      <c r="A8" t="s">
        <v>182</v>
      </c>
    </row>
    <row r="9" spans="1:1">
      <c r="A9" t="s">
        <v>183</v>
      </c>
    </row>
    <row r="10" spans="1:1">
      <c r="A10" t="s">
        <v>184</v>
      </c>
    </row>
    <row r="11" spans="1:1">
      <c r="A11" t="s">
        <v>185</v>
      </c>
    </row>
    <row r="12" spans="1:1">
      <c r="A12" t="s">
        <v>186</v>
      </c>
    </row>
    <row r="13" spans="1:1">
      <c r="A13" t="s">
        <v>187</v>
      </c>
    </row>
    <row r="15" spans="1:1">
      <c r="A15" t="s">
        <v>50</v>
      </c>
    </row>
    <row r="17" spans="1:1">
      <c r="A17" t="s">
        <v>188</v>
      </c>
    </row>
    <row r="18" spans="1:1">
      <c r="A18" t="s">
        <v>189</v>
      </c>
    </row>
    <row r="19" spans="1:1">
      <c r="A19" t="s">
        <v>190</v>
      </c>
    </row>
    <row r="20" spans="1:1">
      <c r="A20" t="s">
        <v>191</v>
      </c>
    </row>
    <row r="21" spans="1:1">
      <c r="A21" t="s">
        <v>192</v>
      </c>
    </row>
    <row r="22" spans="1:1">
      <c r="A22" t="s">
        <v>193</v>
      </c>
    </row>
    <row r="23" spans="1:1">
      <c r="A23" t="s">
        <v>194</v>
      </c>
    </row>
    <row r="24" spans="1:1">
      <c r="A24" t="s">
        <v>195</v>
      </c>
    </row>
    <row r="25" spans="1:1">
      <c r="A25" t="s">
        <v>196</v>
      </c>
    </row>
    <row r="26" spans="1:1">
      <c r="A26" t="s">
        <v>197</v>
      </c>
    </row>
    <row r="27" spans="1:1">
      <c r="A27" t="s">
        <v>198</v>
      </c>
    </row>
    <row r="28" spans="1:1">
      <c r="A28" t="s">
        <v>199</v>
      </c>
    </row>
    <row r="29" spans="1:1">
      <c r="A29" t="s">
        <v>200</v>
      </c>
    </row>
    <row r="30" spans="1:1">
      <c r="A30" t="s">
        <v>51</v>
      </c>
    </row>
    <row r="31" spans="1:1">
      <c r="A31" t="s">
        <v>52</v>
      </c>
    </row>
    <row r="32" spans="1:1">
      <c r="A32" t="s">
        <v>53</v>
      </c>
    </row>
    <row r="33" spans="1:6">
      <c r="A33" t="s">
        <v>201</v>
      </c>
    </row>
    <row r="34" spans="1:6">
      <c r="A34" t="s">
        <v>202</v>
      </c>
    </row>
    <row r="35" spans="1:6">
      <c r="A35" t="s">
        <v>203</v>
      </c>
    </row>
    <row r="36" spans="1:6">
      <c r="A36" t="s">
        <v>204</v>
      </c>
    </row>
    <row r="37" spans="1:6">
      <c r="A37" t="s">
        <v>205</v>
      </c>
    </row>
    <row r="38" spans="1:6">
      <c r="A38" t="s">
        <v>206</v>
      </c>
    </row>
    <row r="39" spans="1:6">
      <c r="A39" t="s">
        <v>207</v>
      </c>
    </row>
    <row r="40" spans="1:6">
      <c r="A40" t="s">
        <v>208</v>
      </c>
    </row>
    <row r="42" spans="1:6">
      <c r="A42" t="s">
        <v>54</v>
      </c>
      <c r="B42" s="7">
        <v>1000000</v>
      </c>
      <c r="D42" t="s">
        <v>55</v>
      </c>
      <c r="E42" t="s">
        <v>56</v>
      </c>
      <c r="F42" t="s">
        <v>57</v>
      </c>
    </row>
    <row r="43" spans="1:6">
      <c r="A43" t="s">
        <v>58</v>
      </c>
      <c r="B43">
        <f>3/12</f>
        <v>0.25</v>
      </c>
      <c r="D43" t="s">
        <v>59</v>
      </c>
      <c r="E43" s="1">
        <v>2.9000000000000001E-2</v>
      </c>
      <c r="F43" s="1">
        <v>3.1E-2</v>
      </c>
    </row>
    <row r="44" spans="1:6">
      <c r="A44" t="s">
        <v>60</v>
      </c>
      <c r="B44" s="1">
        <v>2.5000000000000001E-2</v>
      </c>
      <c r="D44" t="s">
        <v>61</v>
      </c>
      <c r="E44" s="1">
        <v>3.4000000000000002E-2</v>
      </c>
      <c r="F44" s="1">
        <v>3.5999999999999997E-2</v>
      </c>
    </row>
    <row r="45" spans="1:6">
      <c r="A45" t="s">
        <v>62</v>
      </c>
      <c r="B45">
        <f>3/4</f>
        <v>0.75</v>
      </c>
      <c r="D45" t="s">
        <v>63</v>
      </c>
      <c r="E45" s="1">
        <v>2.1000000000000001E-2</v>
      </c>
      <c r="F45" t="s">
        <v>64</v>
      </c>
    </row>
    <row r="46" spans="1:6">
      <c r="A46" t="s">
        <v>65</v>
      </c>
      <c r="B46" s="1">
        <v>3.5000000000000003E-2</v>
      </c>
      <c r="D46" t="s">
        <v>66</v>
      </c>
      <c r="E46" s="1">
        <v>4.5999999999999999E-2</v>
      </c>
      <c r="F46" t="s">
        <v>64</v>
      </c>
    </row>
    <row r="48" spans="1:6">
      <c r="A48" s="4"/>
      <c r="B48" s="4" t="s">
        <v>67</v>
      </c>
      <c r="C48" s="4" t="s">
        <v>8</v>
      </c>
      <c r="D48" s="4" t="s">
        <v>68</v>
      </c>
      <c r="E48" s="4" t="s">
        <v>69</v>
      </c>
      <c r="F48" s="4" t="s">
        <v>70</v>
      </c>
    </row>
    <row r="49" spans="1:6">
      <c r="A49" s="4" t="s">
        <v>71</v>
      </c>
      <c r="B49" s="8">
        <f>B42</f>
        <v>1000000</v>
      </c>
      <c r="C49" s="8">
        <f>B49</f>
        <v>1000000</v>
      </c>
      <c r="D49" s="8">
        <f>-C49*(1+B44*B43)</f>
        <v>-1006250.0000000001</v>
      </c>
      <c r="E49" s="4"/>
      <c r="F49" s="4"/>
    </row>
    <row r="50" spans="1:6">
      <c r="A50" s="4" t="s">
        <v>72</v>
      </c>
      <c r="B50" s="8">
        <f>B49</f>
        <v>1000000</v>
      </c>
      <c r="C50" s="8">
        <f>-B50</f>
        <v>-1000000</v>
      </c>
      <c r="D50" s="4"/>
      <c r="E50" s="4"/>
      <c r="F50" s="8">
        <f>-C50*(1+B46*B45)</f>
        <v>1026250.0000000001</v>
      </c>
    </row>
    <row r="51" spans="1:6">
      <c r="A51" s="4" t="str">
        <f>"3. Buy 3x6 at " &amp; F43*100 &amp; "%"</f>
        <v>3. Buy 3x6 at 3.1%</v>
      </c>
      <c r="B51" s="8">
        <f>B42*(1+B44*B43)</f>
        <v>1006250.0000000001</v>
      </c>
      <c r="C51" s="4"/>
      <c r="D51" s="8">
        <f>B51*(E45 - F43)/4 / (1 + E45/4)</f>
        <v>-2502.4869435463816</v>
      </c>
      <c r="E51" s="4"/>
      <c r="F51" s="4"/>
    </row>
    <row r="52" spans="1:6">
      <c r="A52" s="4" t="str">
        <f>"3. Buy 6x9 at " &amp; F44*100 &amp; "%"</f>
        <v>3. Buy 6x9 at 3.6%</v>
      </c>
      <c r="B52" s="8">
        <f>B42*(1+B44*B43) * (1+F43/4)</f>
        <v>1014048.4375</v>
      </c>
      <c r="C52" s="4"/>
      <c r="D52" s="4"/>
      <c r="E52" s="5">
        <f>B52*(E46 - F44)/4 / (1 + E46/4)</f>
        <v>2506.2986591695503</v>
      </c>
      <c r="F52" s="4"/>
    </row>
    <row r="53" spans="1:6">
      <c r="A53" s="4" t="s">
        <v>73</v>
      </c>
      <c r="B53" s="4"/>
      <c r="C53" s="4"/>
      <c r="D53" s="8">
        <f>-D49-D51</f>
        <v>1008752.4869435464</v>
      </c>
      <c r="E53" s="8">
        <f>-D53*(1+E45/4)</f>
        <v>-1014048.4375</v>
      </c>
      <c r="F53" s="4"/>
    </row>
    <row r="54" spans="1:6">
      <c r="A54" s="4" t="s">
        <v>74</v>
      </c>
      <c r="B54" s="4"/>
      <c r="C54" s="4"/>
      <c r="D54" s="4"/>
      <c r="E54" s="8">
        <f>-E53-E52</f>
        <v>1011542.1388408304</v>
      </c>
      <c r="F54" s="8">
        <f>-E54*(1+E46/4)</f>
        <v>-1023174.8734375001</v>
      </c>
    </row>
    <row r="55" spans="1:6">
      <c r="A55" s="4" t="s">
        <v>16</v>
      </c>
      <c r="B55" s="4"/>
      <c r="C55" s="8">
        <f>SUM(C49:C54)</f>
        <v>0</v>
      </c>
      <c r="D55" s="8">
        <f>SUM(D49:D54)</f>
        <v>0</v>
      </c>
      <c r="E55" s="8">
        <f>SUM(E49:E54)</f>
        <v>0</v>
      </c>
      <c r="F55" s="11">
        <f>SUM(F49:F54)</f>
        <v>3075.1265625000233</v>
      </c>
    </row>
    <row r="57" spans="1:6">
      <c r="A57" t="s">
        <v>75</v>
      </c>
      <c r="B57" s="12">
        <f>(-F50/E53-1)*4</f>
        <v>4.8130097335710609E-2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2"/>
  <sheetViews>
    <sheetView workbookViewId="0">
      <selection activeCell="A43" sqref="A43"/>
    </sheetView>
  </sheetViews>
  <sheetFormatPr defaultRowHeight="14"/>
  <cols>
    <col min="1" max="4" width="10.6640625" customWidth="1"/>
  </cols>
  <sheetData>
    <row r="1" spans="1:3">
      <c r="A1" s="15" t="s">
        <v>210</v>
      </c>
    </row>
    <row r="2" spans="1:3">
      <c r="A2" t="s">
        <v>211</v>
      </c>
    </row>
    <row r="3" spans="1:3">
      <c r="A3" t="s">
        <v>212</v>
      </c>
    </row>
    <row r="4" spans="1:3">
      <c r="A4" t="s">
        <v>213</v>
      </c>
    </row>
    <row r="5" spans="1:3">
      <c r="A5" t="s">
        <v>214</v>
      </c>
    </row>
    <row r="6" spans="1:3">
      <c r="A6" t="s">
        <v>215</v>
      </c>
    </row>
    <row r="7" spans="1:3">
      <c r="B7" t="s">
        <v>76</v>
      </c>
      <c r="C7" t="s">
        <v>77</v>
      </c>
    </row>
    <row r="8" spans="1:3">
      <c r="A8" t="s">
        <v>229</v>
      </c>
      <c r="B8" s="1">
        <v>2.5000000000000001E-2</v>
      </c>
      <c r="C8" s="1">
        <v>2.8000000000000001E-2</v>
      </c>
    </row>
    <row r="9" spans="1:3">
      <c r="A9" t="s">
        <v>87</v>
      </c>
      <c r="B9" s="1">
        <v>0.03</v>
      </c>
      <c r="C9" s="1">
        <v>3.2000000000000001E-2</v>
      </c>
    </row>
    <row r="10" spans="1:3">
      <c r="A10" t="s">
        <v>88</v>
      </c>
      <c r="B10" s="1">
        <v>3.5000000000000003E-2</v>
      </c>
      <c r="C10" s="1">
        <v>3.5999999999999997E-2</v>
      </c>
    </row>
    <row r="11" spans="1:3">
      <c r="A11" s="1" t="s">
        <v>216</v>
      </c>
    </row>
    <row r="12" spans="1:3">
      <c r="A12" t="s">
        <v>217</v>
      </c>
    </row>
    <row r="13" spans="1:3">
      <c r="A13" t="s">
        <v>218</v>
      </c>
    </row>
    <row r="14" spans="1:3">
      <c r="A14" t="s">
        <v>219</v>
      </c>
    </row>
    <row r="15" spans="1:3">
      <c r="A15" t="s">
        <v>220</v>
      </c>
    </row>
    <row r="16" spans="1:3">
      <c r="A16" t="s">
        <v>221</v>
      </c>
    </row>
    <row r="17" spans="1:4">
      <c r="A17" t="s">
        <v>222</v>
      </c>
    </row>
    <row r="18" spans="1:4">
      <c r="A18" t="s">
        <v>223</v>
      </c>
    </row>
    <row r="19" spans="1:4">
      <c r="A19" t="s">
        <v>224</v>
      </c>
    </row>
    <row r="20" spans="1:4">
      <c r="A20" t="s">
        <v>225</v>
      </c>
    </row>
    <row r="21" spans="1:4">
      <c r="A21" t="s">
        <v>226</v>
      </c>
    </row>
    <row r="22" spans="1:4">
      <c r="A22" t="s">
        <v>227</v>
      </c>
    </row>
    <row r="23" spans="1:4">
      <c r="A23" t="s">
        <v>228</v>
      </c>
    </row>
    <row r="25" spans="1:4">
      <c r="B25" t="s">
        <v>76</v>
      </c>
      <c r="C25" t="s">
        <v>77</v>
      </c>
    </row>
    <row r="26" spans="1:4">
      <c r="A26" t="s">
        <v>78</v>
      </c>
      <c r="B26" s="1">
        <v>2.5000000000000001E-2</v>
      </c>
      <c r="C26" s="1">
        <v>2.8000000000000001E-2</v>
      </c>
    </row>
    <row r="27" spans="1:4">
      <c r="A27" t="s">
        <v>79</v>
      </c>
      <c r="B27" s="1">
        <v>0.03</v>
      </c>
      <c r="C27" s="1">
        <v>3.2000000000000001E-2</v>
      </c>
    </row>
    <row r="28" spans="1:4">
      <c r="A28" t="s">
        <v>80</v>
      </c>
      <c r="B28" s="1">
        <v>3.5000000000000003E-2</v>
      </c>
      <c r="C28" s="1">
        <v>3.5999999999999997E-2</v>
      </c>
    </row>
    <row r="30" spans="1:4">
      <c r="A30" t="s">
        <v>81</v>
      </c>
      <c r="B30" s="1">
        <f>(B27*4 - B26*4)/6</f>
        <v>3.3333333333333318E-3</v>
      </c>
      <c r="C30" s="1">
        <f>C27*2-C26*2</f>
        <v>8.0000000000000002E-3</v>
      </c>
      <c r="D30" s="1" t="s">
        <v>82</v>
      </c>
    </row>
    <row r="31" spans="1:4">
      <c r="A31" t="s">
        <v>83</v>
      </c>
      <c r="B31" s="1">
        <f>(B28*4-B27*4)/10</f>
        <v>2.0000000000000018E-3</v>
      </c>
      <c r="C31" s="1">
        <f>(C28*2-C27*2)/3</f>
        <v>2.6666666666666644E-3</v>
      </c>
    </row>
    <row r="33" spans="1:3">
      <c r="A33" t="s">
        <v>84</v>
      </c>
      <c r="B33" t="s">
        <v>85</v>
      </c>
      <c r="C33" t="s">
        <v>86</v>
      </c>
    </row>
    <row r="34" spans="1:3">
      <c r="A34">
        <v>0</v>
      </c>
      <c r="B34" s="1">
        <f>B26</f>
        <v>2.5000000000000001E-2</v>
      </c>
      <c r="C34" s="1">
        <f>C26</f>
        <v>2.8000000000000001E-2</v>
      </c>
    </row>
    <row r="35" spans="1:3">
      <c r="A35">
        <v>3</v>
      </c>
      <c r="B35" s="1">
        <f>B34+B30</f>
        <v>2.8333333333333332E-2</v>
      </c>
    </row>
    <row r="36" spans="1:3">
      <c r="A36">
        <v>6</v>
      </c>
      <c r="B36" s="1">
        <f>B35+B30</f>
        <v>3.1666666666666662E-2</v>
      </c>
      <c r="C36" s="1">
        <f>C34+C30</f>
        <v>3.6000000000000004E-2</v>
      </c>
    </row>
    <row r="37" spans="1:3">
      <c r="A37">
        <v>9</v>
      </c>
      <c r="B37" s="1">
        <f>B36+B30</f>
        <v>3.4999999999999996E-2</v>
      </c>
    </row>
    <row r="38" spans="1:3">
      <c r="A38">
        <v>12</v>
      </c>
      <c r="B38" s="1">
        <f>B37+B31</f>
        <v>3.6999999999999998E-2</v>
      </c>
      <c r="C38" s="1">
        <f>C36+C31</f>
        <v>3.8666666666666669E-2</v>
      </c>
    </row>
    <row r="39" spans="1:3">
      <c r="A39">
        <v>15</v>
      </c>
      <c r="B39" s="1">
        <f>B38+B31</f>
        <v>3.9E-2</v>
      </c>
    </row>
    <row r="40" spans="1:3">
      <c r="A40">
        <v>18</v>
      </c>
      <c r="B40" s="1">
        <f>B31+B39</f>
        <v>4.1000000000000002E-2</v>
      </c>
      <c r="C40" s="1">
        <f>C38+C31</f>
        <v>4.1333333333333333E-2</v>
      </c>
    </row>
    <row r="41" spans="1:3">
      <c r="A41">
        <v>21</v>
      </c>
      <c r="B41" s="1">
        <f>B40+B31</f>
        <v>4.3000000000000003E-2</v>
      </c>
    </row>
    <row r="43" spans="1:3">
      <c r="A43" t="s">
        <v>230</v>
      </c>
    </row>
    <row r="44" spans="1:3">
      <c r="A44" t="s">
        <v>87</v>
      </c>
      <c r="B44" s="1">
        <f>AVERAGE(B34:B37)</f>
        <v>0.03</v>
      </c>
      <c r="C44" s="1">
        <f>AVERAGE(C34, C36)</f>
        <v>3.2000000000000001E-2</v>
      </c>
    </row>
    <row r="45" spans="1:3">
      <c r="A45" t="s">
        <v>88</v>
      </c>
      <c r="B45" s="1">
        <f>AVERAGE(B34:B41)</f>
        <v>3.5000000000000003E-2</v>
      </c>
      <c r="C45" s="1">
        <f>AVERAGE(C34,C36,C38,C40)</f>
        <v>3.6000000000000004E-2</v>
      </c>
    </row>
    <row r="47" spans="1:3">
      <c r="A47" t="s">
        <v>89</v>
      </c>
    </row>
    <row r="48" spans="1:3">
      <c r="A48" t="s">
        <v>90</v>
      </c>
      <c r="B48" t="s">
        <v>91</v>
      </c>
    </row>
    <row r="49" spans="1:2">
      <c r="A49" t="s">
        <v>92</v>
      </c>
      <c r="B49" t="s">
        <v>93</v>
      </c>
    </row>
    <row r="51" spans="1:2">
      <c r="A51" t="s">
        <v>94</v>
      </c>
      <c r="B51" s="2">
        <f>(SUM(C34:C41) * 1/2 - SUM(B34:B41) * 1 / 4) / 8 / (1/4)</f>
        <v>1.0000000000000009E-3</v>
      </c>
    </row>
    <row r="52" spans="1:2">
      <c r="A52" t="s">
        <v>95</v>
      </c>
      <c r="B52" s="2">
        <f>C28-B28</f>
        <v>9.9999999999999395E-4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</vt:lpstr>
      <vt:lpstr>Problem2</vt:lpstr>
      <vt:lpstr>Problem3</vt:lpstr>
      <vt:lpstr>Problem4</vt:lpstr>
      <vt:lpstr>Problem5</vt:lpstr>
      <vt:lpstr>Problem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cp:revision>18</cp:revision>
  <dcterms:created xsi:type="dcterms:W3CDTF">2023-03-27T22:54:06Z</dcterms:created>
  <dcterms:modified xsi:type="dcterms:W3CDTF">2023-10-23T20:15:24Z</dcterms:modified>
</cp:coreProperties>
</file>