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k\latex\derivatives\homework\"/>
    </mc:Choice>
  </mc:AlternateContent>
  <xr:revisionPtr revIDLastSave="0" documentId="13_ncr:1_{483FA802-6DD2-424D-9133-5462696A89FD}" xr6:coauthVersionLast="47" xr6:coauthVersionMax="47" xr10:uidLastSave="{00000000-0000-0000-0000-000000000000}"/>
  <bookViews>
    <workbookView xWindow="-110" yWindow="-110" windowWidth="25820" windowHeight="13900" xr2:uid="{4DFCA1E9-A962-40B5-84C8-6CC82C4AF0DC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6" l="1"/>
  <c r="F69" i="6" s="1"/>
  <c r="F58" i="6"/>
  <c r="D46" i="6"/>
  <c r="D48" i="6" s="1"/>
  <c r="D51" i="6" s="1"/>
  <c r="C44" i="6"/>
  <c r="C31" i="6"/>
  <c r="B35" i="6"/>
  <c r="B34" i="6"/>
  <c r="C34" i="6" s="1"/>
  <c r="B33" i="6"/>
  <c r="C33" i="6" s="1"/>
  <c r="B32" i="6"/>
  <c r="C32" i="6" s="1"/>
  <c r="B31" i="6"/>
  <c r="B30" i="6"/>
  <c r="C30" i="6" s="1"/>
  <c r="G31" i="5"/>
  <c r="G49" i="5"/>
  <c r="G50" i="5"/>
  <c r="G30" i="5"/>
  <c r="G29" i="5"/>
  <c r="F31" i="5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C31" i="5"/>
  <c r="C45" i="5"/>
  <c r="B35" i="5"/>
  <c r="B34" i="5"/>
  <c r="C34" i="5" s="1"/>
  <c r="B33" i="5"/>
  <c r="C33" i="5" s="1"/>
  <c r="B32" i="5"/>
  <c r="C32" i="5" s="1"/>
  <c r="B30" i="5"/>
  <c r="C30" i="5" s="1"/>
  <c r="B31" i="5"/>
  <c r="B17" i="4"/>
  <c r="B33" i="4"/>
  <c r="E36" i="4" s="1"/>
  <c r="B20" i="4"/>
  <c r="C36" i="3"/>
  <c r="C26" i="3"/>
  <c r="C30" i="3" s="1"/>
  <c r="C27" i="3"/>
  <c r="C28" i="3"/>
  <c r="C29" i="3"/>
  <c r="C24" i="3"/>
  <c r="B31" i="3"/>
  <c r="B30" i="3"/>
  <c r="B32" i="3" s="1"/>
  <c r="C35" i="3" s="1"/>
  <c r="B23" i="2"/>
  <c r="B17" i="2"/>
  <c r="B20" i="2" s="1"/>
  <c r="B16" i="2"/>
  <c r="B18" i="2" s="1"/>
  <c r="C29" i="1"/>
  <c r="C47" i="1"/>
  <c r="A42" i="1"/>
  <c r="A34" i="1"/>
  <c r="E32" i="1"/>
  <c r="E36" i="1" s="1"/>
  <c r="E40" i="1" s="1"/>
  <c r="C30" i="1"/>
  <c r="E12" i="1"/>
  <c r="B19" i="1"/>
  <c r="E22" i="1" s="1"/>
  <c r="D16" i="1"/>
  <c r="D58" i="6" l="1"/>
  <c r="D61" i="6" s="1"/>
  <c r="H37" i="5"/>
  <c r="B37" i="5"/>
  <c r="B41" i="5" s="1"/>
  <c r="D45" i="5" s="1"/>
  <c r="B36" i="5"/>
  <c r="B38" i="5" s="1"/>
  <c r="C35" i="5"/>
  <c r="C37" i="5" s="1"/>
  <c r="C41" i="5" s="1"/>
  <c r="H36" i="5"/>
  <c r="H34" i="5"/>
  <c r="H53" i="5"/>
  <c r="H50" i="5"/>
  <c r="I50" i="5" s="1"/>
  <c r="G42" i="5"/>
  <c r="H43" i="5"/>
  <c r="H45" i="5"/>
  <c r="H44" i="5"/>
  <c r="G37" i="5"/>
  <c r="I37" i="5" s="1"/>
  <c r="C36" i="5"/>
  <c r="C38" i="5" s="1"/>
  <c r="G34" i="5"/>
  <c r="I34" i="5" s="1"/>
  <c r="H40" i="5"/>
  <c r="I40" i="5" s="1"/>
  <c r="H65" i="5"/>
  <c r="H29" i="5"/>
  <c r="H35" i="5"/>
  <c r="H30" i="5"/>
  <c r="H52" i="5"/>
  <c r="H51" i="5"/>
  <c r="G43" i="5"/>
  <c r="G41" i="5"/>
  <c r="I41" i="5" s="1"/>
  <c r="G40" i="5"/>
  <c r="G39" i="5"/>
  <c r="H42" i="5"/>
  <c r="G33" i="5"/>
  <c r="H39" i="5"/>
  <c r="H46" i="5"/>
  <c r="G38" i="5"/>
  <c r="H41" i="5"/>
  <c r="G32" i="5"/>
  <c r="B33" i="3"/>
  <c r="C31" i="3"/>
  <c r="C33" i="3" s="1"/>
  <c r="C37" i="3" s="1"/>
  <c r="D65" i="6"/>
  <c r="D68" i="6" s="1"/>
  <c r="D69" i="6"/>
  <c r="B37" i="6"/>
  <c r="B41" i="6" s="1"/>
  <c r="D54" i="6"/>
  <c r="F54" i="6" s="1"/>
  <c r="C35" i="6"/>
  <c r="B36" i="6"/>
  <c r="B38" i="6" s="1"/>
  <c r="C45" i="6"/>
  <c r="E44" i="1"/>
  <c r="G60" i="5"/>
  <c r="G59" i="5"/>
  <c r="G63" i="5"/>
  <c r="G58" i="5"/>
  <c r="H61" i="5"/>
  <c r="G54" i="5"/>
  <c r="G57" i="5"/>
  <c r="G56" i="5"/>
  <c r="G55" i="5"/>
  <c r="I55" i="5" s="1"/>
  <c r="G53" i="5"/>
  <c r="I53" i="5" s="1"/>
  <c r="H62" i="5"/>
  <c r="G65" i="5"/>
  <c r="I65" i="5" s="1"/>
  <c r="H56" i="5"/>
  <c r="H60" i="5"/>
  <c r="H59" i="5"/>
  <c r="H58" i="5"/>
  <c r="H57" i="5"/>
  <c r="G64" i="5"/>
  <c r="H55" i="5"/>
  <c r="H54" i="5"/>
  <c r="H38" i="5"/>
  <c r="G48" i="5"/>
  <c r="H49" i="5"/>
  <c r="I49" i="5" s="1"/>
  <c r="H33" i="5"/>
  <c r="G47" i="5"/>
  <c r="H64" i="5"/>
  <c r="H48" i="5"/>
  <c r="H32" i="5"/>
  <c r="I32" i="5" s="1"/>
  <c r="I30" i="5"/>
  <c r="G44" i="5"/>
  <c r="H63" i="5"/>
  <c r="H47" i="5"/>
  <c r="H31" i="5"/>
  <c r="I31" i="5" s="1"/>
  <c r="G52" i="5"/>
  <c r="I52" i="5" s="1"/>
  <c r="G36" i="5"/>
  <c r="G51" i="5"/>
  <c r="G35" i="5"/>
  <c r="I35" i="5" s="1"/>
  <c r="G62" i="5"/>
  <c r="G46" i="5"/>
  <c r="G61" i="5"/>
  <c r="G45" i="5"/>
  <c r="B40" i="5"/>
  <c r="B39" i="5"/>
  <c r="D44" i="5" s="1"/>
  <c r="E37" i="4"/>
  <c r="H33" i="4"/>
  <c r="H39" i="4"/>
  <c r="E30" i="4"/>
  <c r="B34" i="4"/>
  <c r="B19" i="2"/>
  <c r="B21" i="2"/>
  <c r="E18" i="1"/>
  <c r="E23" i="1"/>
  <c r="E19" i="1"/>
  <c r="B21" i="1" s="1"/>
  <c r="D31" i="1" s="1"/>
  <c r="B40" i="6" l="1"/>
  <c r="B39" i="6"/>
  <c r="C46" i="6" s="1"/>
  <c r="C40" i="5"/>
  <c r="I61" i="5"/>
  <c r="I44" i="5"/>
  <c r="I51" i="5"/>
  <c r="I39" i="5"/>
  <c r="I47" i="5"/>
  <c r="I45" i="5"/>
  <c r="I38" i="5"/>
  <c r="I36" i="5"/>
  <c r="I46" i="5"/>
  <c r="I42" i="5"/>
  <c r="I33" i="5"/>
  <c r="I43" i="5"/>
  <c r="C39" i="5"/>
  <c r="D47" i="5" s="1"/>
  <c r="D46" i="5"/>
  <c r="C32" i="3"/>
  <c r="C59" i="6"/>
  <c r="C66" i="6"/>
  <c r="C52" i="6"/>
  <c r="F62" i="6"/>
  <c r="D62" i="6"/>
  <c r="C36" i="6"/>
  <c r="C37" i="6"/>
  <c r="C54" i="6"/>
  <c r="F55" i="6"/>
  <c r="D55" i="6"/>
  <c r="C47" i="6"/>
  <c r="C48" i="6" s="1"/>
  <c r="E45" i="1"/>
  <c r="E48" i="1" s="1"/>
  <c r="I54" i="5"/>
  <c r="I58" i="5"/>
  <c r="I62" i="5"/>
  <c r="I59" i="5"/>
  <c r="I60" i="5"/>
  <c r="I63" i="5"/>
  <c r="I56" i="5"/>
  <c r="I57" i="5"/>
  <c r="I64" i="5"/>
  <c r="I48" i="5"/>
  <c r="K42" i="4"/>
  <c r="K43" i="4" s="1"/>
  <c r="K45" i="4" s="1"/>
  <c r="K46" i="4" s="1"/>
  <c r="K36" i="4"/>
  <c r="K37" i="4" s="1"/>
  <c r="K39" i="4" s="1"/>
  <c r="H40" i="4"/>
  <c r="E31" i="4"/>
  <c r="H27" i="4"/>
  <c r="K30" i="4"/>
  <c r="K31" i="4" s="1"/>
  <c r="K33" i="4" s="1"/>
  <c r="H34" i="4"/>
  <c r="D32" i="1"/>
  <c r="C31" i="1"/>
  <c r="B22" i="1"/>
  <c r="B20" i="1"/>
  <c r="D48" i="5" l="1"/>
  <c r="C51" i="6"/>
  <c r="C55" i="6" s="1"/>
  <c r="C58" i="6"/>
  <c r="C62" i="6" s="1"/>
  <c r="C65" i="6"/>
  <c r="C41" i="6"/>
  <c r="C39" i="6"/>
  <c r="C40" i="6"/>
  <c r="E47" i="6" s="1"/>
  <c r="C38" i="6"/>
  <c r="D36" i="1"/>
  <c r="D44" i="1"/>
  <c r="H43" i="4"/>
  <c r="K40" i="4"/>
  <c r="H41" i="4"/>
  <c r="H42" i="4" s="1"/>
  <c r="H37" i="4"/>
  <c r="K34" i="4"/>
  <c r="H35" i="4"/>
  <c r="H36" i="4" s="1"/>
  <c r="H28" i="4"/>
  <c r="K24" i="4"/>
  <c r="K25" i="4" s="1"/>
  <c r="K27" i="4" s="1"/>
  <c r="C32" i="1"/>
  <c r="C39" i="1"/>
  <c r="D38" i="1"/>
  <c r="C38" i="1" s="1"/>
  <c r="E48" i="6" l="1"/>
  <c r="B71" i="6"/>
  <c r="D46" i="1"/>
  <c r="C46" i="1" s="1"/>
  <c r="E40" i="4"/>
  <c r="E38" i="4"/>
  <c r="E39" i="4" s="1"/>
  <c r="H31" i="4"/>
  <c r="K28" i="4"/>
  <c r="H29" i="4"/>
  <c r="H30" i="4" s="1"/>
  <c r="C36" i="1"/>
  <c r="C44" i="1"/>
  <c r="D40" i="1"/>
  <c r="C40" i="1"/>
  <c r="E51" i="6" l="1"/>
  <c r="E53" i="6" s="1"/>
  <c r="E55" i="6" s="1"/>
  <c r="E58" i="6"/>
  <c r="E60" i="6" s="1"/>
  <c r="E62" i="6" s="1"/>
  <c r="E65" i="6"/>
  <c r="E67" i="6" s="1"/>
  <c r="D45" i="1"/>
  <c r="E34" i="4"/>
  <c r="E32" i="4"/>
  <c r="E33" i="4" s="1"/>
  <c r="E69" i="6" l="1"/>
  <c r="C67" i="6"/>
  <c r="C69" i="6" s="1"/>
  <c r="D48" i="1"/>
  <c r="C45" i="1"/>
  <c r="C48" i="1" s="1"/>
  <c r="B37" i="4"/>
  <c r="B35" i="4"/>
  <c r="B36" i="4" s="1"/>
</calcChain>
</file>

<file path=xl/sharedStrings.xml><?xml version="1.0" encoding="utf-8"?>
<sst xmlns="http://schemas.openxmlformats.org/spreadsheetml/2006/main" count="303" uniqueCount="178">
  <si>
    <t>Spot (S)</t>
  </si>
  <si>
    <t>Risk-free</t>
  </si>
  <si>
    <t>u</t>
  </si>
  <si>
    <t>Years</t>
  </si>
  <si>
    <t>d</t>
  </si>
  <si>
    <t>Strike (K)</t>
  </si>
  <si>
    <t>Market put</t>
  </si>
  <si>
    <t>Risk-neutral probability (q)</t>
  </si>
  <si>
    <t>Stock</t>
  </si>
  <si>
    <t>Option Value</t>
  </si>
  <si>
    <t>Value</t>
  </si>
  <si>
    <t>Delta</t>
  </si>
  <si>
    <t>Cash</t>
  </si>
  <si>
    <t>In case the option is priced at $5 on the market</t>
  </si>
  <si>
    <t>Total (zero investment)</t>
  </si>
  <si>
    <t>1. Borrow cash</t>
  </si>
  <si>
    <t>2. Buy an option</t>
  </si>
  <si>
    <t>3. Buy some stock</t>
  </si>
  <si>
    <t>Actions today</t>
  </si>
  <si>
    <t>0. Starting balance</t>
  </si>
  <si>
    <t>1. Option expires</t>
  </si>
  <si>
    <t>2. Sell the stock</t>
  </si>
  <si>
    <t>3. Repay the debt</t>
  </si>
  <si>
    <t>4. Total</t>
  </si>
  <si>
    <t>Option</t>
  </si>
  <si>
    <t>1. Exercise the put (sell short)</t>
  </si>
  <si>
    <t>2. Buy some stock</t>
  </si>
  <si>
    <t>S</t>
  </si>
  <si>
    <t>Notional</t>
  </si>
  <si>
    <t>K</t>
  </si>
  <si>
    <t>T</t>
  </si>
  <si>
    <t>r</t>
  </si>
  <si>
    <t>q</t>
  </si>
  <si>
    <t>sigma</t>
  </si>
  <si>
    <t>d1</t>
  </si>
  <si>
    <t>d2</t>
  </si>
  <si>
    <t>European call</t>
  </si>
  <si>
    <t>European put</t>
  </si>
  <si>
    <t>Digital call</t>
  </si>
  <si>
    <t>Digital put</t>
  </si>
  <si>
    <t>Answer</t>
  </si>
  <si>
    <t>// Black-Scholes formula gives price of a digital that pays one unit of currency (1 dollar). Need to scale this by desired payoff (1000)</t>
  </si>
  <si>
    <t>r (jpy)</t>
  </si>
  <si>
    <t>q (usd)</t>
  </si>
  <si>
    <t>S (usdjpy)</t>
  </si>
  <si>
    <t>N (USD)</t>
  </si>
  <si>
    <t>Call (1 usd)</t>
  </si>
  <si>
    <t>Put (1 usd)</t>
  </si>
  <si>
    <t>&lt;--- find by trial and error</t>
  </si>
  <si>
    <t>[JPY]</t>
  </si>
  <si>
    <t>Strike for Put (K1)</t>
  </si>
  <si>
    <t>Put K1 for 10mln USD</t>
  </si>
  <si>
    <t>tau</t>
  </si>
  <si>
    <t>Exercise value</t>
  </si>
  <si>
    <t>Continuation value</t>
  </si>
  <si>
    <t>Call K2 for 10mln USD</t>
  </si>
  <si>
    <t xml:space="preserve">P = </t>
  </si>
  <si>
    <t>0, S_T &gt;= B</t>
  </si>
  <si>
    <t>B</t>
  </si>
  <si>
    <t>K - S_T, S_T &lt; B</t>
  </si>
  <si>
    <t>Strike B</t>
  </si>
  <si>
    <t>Amount</t>
  </si>
  <si>
    <t>Premium</t>
  </si>
  <si>
    <t>1. Vanilla put, strike B</t>
  </si>
  <si>
    <t>2. Digital put, strike B</t>
  </si>
  <si>
    <t>EKI put (total)</t>
  </si>
  <si>
    <t>Strike K</t>
  </si>
  <si>
    <t>Vanilla put</t>
  </si>
  <si>
    <t>Vanilla put, strike K</t>
  </si>
  <si>
    <t>EKI vs vanilla</t>
  </si>
  <si>
    <t>Spot</t>
  </si>
  <si>
    <t>Eps</t>
  </si>
  <si>
    <t>Total (EKI put)</t>
  </si>
  <si>
    <t>r (usd)</t>
  </si>
  <si>
    <t>q (index)</t>
  </si>
  <si>
    <t>Vanilla call</t>
  </si>
  <si>
    <t>Puts-4000</t>
  </si>
  <si>
    <t>0. Start with initial cash</t>
  </si>
  <si>
    <t>1. Deposit some cash at 4%</t>
  </si>
  <si>
    <t>2. Sell 25 vanilla puts-4000</t>
  </si>
  <si>
    <t>3. Buy digital calls-4500</t>
  </si>
  <si>
    <t>Calls-4500</t>
  </si>
  <si>
    <t>0. Initial balance</t>
  </si>
  <si>
    <t>Stocks</t>
  </si>
  <si>
    <t>1. Collect cash from depostit</t>
  </si>
  <si>
    <t>2. Digital calls expire</t>
  </si>
  <si>
    <t>3. Put options are exercised</t>
  </si>
  <si>
    <t>4. Total - we own index stocks</t>
  </si>
  <si>
    <t>Replicating the note today</t>
  </si>
  <si>
    <t>Scenario #1: S_T = 3700</t>
  </si>
  <si>
    <t>3. Put options expire</t>
  </si>
  <si>
    <t>Scenario #2: S_T = 4200</t>
  </si>
  <si>
    <t>Scenario #3: S_T = 4800</t>
  </si>
  <si>
    <t>4. Total - we get back initial amount</t>
  </si>
  <si>
    <t>2. Exercise digital calls</t>
  </si>
  <si>
    <t>4. Total - we won jackpot!</t>
  </si>
  <si>
    <t>X (fair jackpot)</t>
  </si>
  <si>
    <t>[USD]</t>
  </si>
  <si>
    <t>USD Cash</t>
  </si>
  <si>
    <t>&lt;-- Sadly 25 stocks have value less than 100,000 :(((</t>
  </si>
  <si>
    <t>1 Vanilla Put</t>
  </si>
  <si>
    <t>Consider a one-step binomial model. Each step in the tree represents 1 month</t>
  </si>
  <si>
    <t>priced at $5 in the market. Present an arbitrage strategy that allows you to</t>
  </si>
  <si>
    <t>profit from the market’s mispricing.</t>
  </si>
  <si>
    <t>(tau = 1/12 years). A non-dividend paying stock is currently priced at S= $100</t>
  </si>
  <si>
    <t>The stock price can either increase by a factor of u=1.2 or decrease by a</t>
  </si>
  <si>
    <t>factor of d=0.8. Risk-free interest rate is r=0%. What is fair value of 1</t>
  </si>
  <si>
    <t>month European put option at strike K=95? Suppose that such an option is</t>
  </si>
  <si>
    <t>2 Digital Put</t>
  </si>
  <si>
    <t>per annum (continuous compounding). Find fair value of a digital put option</t>
  </si>
  <si>
    <t>A non-dividend paying stock is priced at S=$200. Volatility of the stock</t>
  </si>
  <si>
    <t>price in the Black-Scholes model is sigma = 40%. Risk-free interest rate is r = 3%</t>
  </si>
  <si>
    <t>that pays out N = $1 000 in T = 0.25 years if the stock price ends up lower</t>
  </si>
  <si>
    <t>than the strike K = $90.</t>
  </si>
  <si>
    <t>3 Collar</t>
  </si>
  <si>
    <t>use this structure to hedge against exchange rate increases, and yet have more</t>
  </si>
  <si>
    <t>flexibility than in a forward contract.</t>
  </si>
  <si>
    <t>(both rates are continuously compounded). The company wants protection</t>
  </si>
  <si>
    <t>for an option which would provide this protection?</t>
  </si>
  <si>
    <t>Suppose that the company is not willing to pay a premium for the option</t>
  </si>
  <si>
    <t>but is ready to give up a portion of the profit in a scenario where the yen</t>
  </si>
  <si>
    <t>appreciates significantly. In other words, the company is willing to sell a put</t>
  </si>
  <si>
    <t>at a strike that we specify. Using trial and error method, find (with an accuracy</t>
  </si>
  <si>
    <t>put and buy the call, and the overall cost of the hedge will be zero.</t>
  </si>
  <si>
    <t>A collar is a combination of a sold European vanilla put at strike K1 and a</t>
  </si>
  <si>
    <t>bought European vanilla call at strike K2 , where K1 &lt; K2 . Some companies</t>
  </si>
  <si>
    <t>In T = 1 year a Japanese automotive company will need N = $10 000 000</t>
  </si>
  <si>
    <t>to pay its chip suppliers. Current USDJPY spot rate is S = 130 (130 yen per</t>
  </si>
  <si>
    <t>1 dollar). Risk-free rates are r = 0% for the yen and q = 3% for the dollar</t>
  </si>
  <si>
    <t>against the yen weakening to K2 = 150 or worse, i.e., the right to buy dollars</t>
  </si>
  <si>
    <t>at K2 = 150. Assume that we live in the Black-Scholes world, and volatility of</t>
  </si>
  <si>
    <t>the USDJPY pair is sigma = 10%. How many yen the company would have to pay</t>
  </si>
  <si>
    <t>of 0.1 yen) the strike K1 for this put, so that the premium for this put is equal</t>
  </si>
  <si>
    <t>to the premium for the call at strike K2 = 150. Now the company can sell the</t>
  </si>
  <si>
    <t>4 American Put</t>
  </si>
  <si>
    <t>Additionally, calculate the option’s Delta at each node of the tree.</t>
  </si>
  <si>
    <t>Under what circumstances does it become advantageous to exercise the</t>
  </si>
  <si>
    <t>put option early? Will the answer change if the interest rate is 0% or negative?</t>
  </si>
  <si>
    <t>Consider a three-step binomial model. Each step is 3 months (tau= 0.25 years).</t>
  </si>
  <si>
    <t>A stock that pays no dividends is currently priced at S = $500. Risk-free</t>
  </si>
  <si>
    <t>interest rate is r = 3% per annum (simple interest without compounding). At</t>
  </si>
  <si>
    <t>each step, the stock can either increase by a factor of u = 1.2 or decrease by a</t>
  </si>
  <si>
    <t>factor of d = 0.8. What is the value of an American put option with a strike</t>
  </si>
  <si>
    <t>of S = $500 and an expiration date in 9 months (at the third step of the tree)?</t>
  </si>
  <si>
    <t>a) we should exercise the put in the 320.00 node</t>
  </si>
  <si>
    <t>b) we will not exercise in case the interest rate is negative</t>
  </si>
  <si>
    <t>A European Knock-In Put (EKI Put) is a type of European put option that</t>
  </si>
  <si>
    <t>earns money if the underlying asset price at expiration is significantly below</t>
  </si>
  <si>
    <t>the strike, but is worthless if the price is just slightly below the strike.</t>
  </si>
  <si>
    <t>5 European Barrier</t>
  </si>
  <si>
    <t>Formally, if S_T is the underlying asset price at expiration, K is the strike,</t>
  </si>
  <si>
    <t>and B is the barrier (B&lt;K), then the option payoff P is given by</t>
  </si>
  <si>
    <t>Devise a strategy to replicate a European Knock-In Put using a combination</t>
  </si>
  <si>
    <t>of European vanilla and/or digital options.</t>
  </si>
  <si>
    <t>In the Black-Scholes model the underlying asset price is $100, the asset</t>
  </si>
  <si>
    <t>pays no dividends, risk-free interest rate is 2%, and volatility is 20%. What is</t>
  </si>
  <si>
    <t>the price of the European Knock-In Put (EKI) with a strike of 100, a barrier</t>
  </si>
  <si>
    <t>compared to a regular European vanilla put?</t>
  </si>
  <si>
    <t>of 90, and an expiration in T = 0.5 years? How much cheaper is the EKI</t>
  </si>
  <si>
    <t>6 Structured Note with a Jackpot</t>
  </si>
  <si>
    <t>A structured note with a jackpot works as follows.</t>
  </si>
  <si>
    <t>lower in a year than it is today, then I don’t receive any cash back. Instead,</t>
  </si>
  <si>
    <t>I receive "shares" of the index, with the purchase price equal to today’s price</t>
  </si>
  <si>
    <t>(my $100 000 will be automatically converted into 25 "shares" of the index). I</t>
  </si>
  <si>
    <t>will thus become a long-term investor (irony intended).</t>
  </si>
  <si>
    <t>If the index will slightly grow in a year and will end up above today’s level</t>
  </si>
  <si>
    <t>capital without any interest and without losses. However, if the index will</t>
  </si>
  <si>
    <t>jackpot of _xD835_dollars. This _xD835_is a contract parameter that you need to calculate.</t>
  </si>
  <si>
    <t>Replicate this structured note using European vanilla and/or digital op-</t>
  </si>
  <si>
    <t>tions, as well as a deposit at the risk-free rate. Let’s assume we live in the</t>
  </si>
  <si>
    <t>Let’s assume that I invest N = $100 000 for a year in a note that is linked</t>
  </si>
  <si>
    <t>to S&amp;P 500 index. Current index level is S = $4 000. If the index will be</t>
  </si>
  <si>
    <t>S = $4 000 but below the cutoff level K = $4 500, I will get back the invested</t>
  </si>
  <si>
    <t>end up at K = $4 500 or higher, I will get back the capital of $100 000 and the</t>
  </si>
  <si>
    <t>Black-Scholes world. Currently, the index is at S = $4 000, risk-free rate is</t>
  </si>
  <si>
    <t>r = 4% (continuous compounding), dividend yield of the index is q = 2%</t>
  </si>
  <si>
    <t>(continuous compounding), and volatility is sigma = 20%. What could be a fair</t>
  </si>
  <si>
    <t>jackpot amount _xD835_for a note with a term of T = 1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</si>
</sst>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000"/>
    <numFmt numFmtId="165" formatCode="0.0"/>
    <numFmt numFmtId="166" formatCode="#,##0.0"/>
    <numFmt numFmtId="167" formatCode="#,##0.000"/>
    <numFmt numFmtId="168" formatCode="0.0000"/>
    <numFmt numFmtId="169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2" borderId="0" xfId="0" applyFill="1"/>
    <xf numFmtId="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0" xfId="0" applyNumberFormat="1"/>
    <xf numFmtId="4" fontId="0" fillId="0" borderId="3" xfId="0" applyNumberFormat="1" applyBorder="1"/>
    <xf numFmtId="2" fontId="0" fillId="0" borderId="0" xfId="0" applyNumberFormat="1"/>
    <xf numFmtId="4" fontId="0" fillId="0" borderId="0" xfId="0" applyNumberFormat="1"/>
    <xf numFmtId="4" fontId="0" fillId="3" borderId="0" xfId="0" applyNumberFormat="1" applyFill="1"/>
    <xf numFmtId="166" fontId="0" fillId="0" borderId="0" xfId="0" applyNumberFormat="1"/>
    <xf numFmtId="165" fontId="0" fillId="0" borderId="0" xfId="0" applyNumberFormat="1"/>
    <xf numFmtId="3" fontId="0" fillId="0" borderId="0" xfId="0" applyNumberFormat="1"/>
    <xf numFmtId="167" fontId="0" fillId="0" borderId="0" xfId="0" applyNumberFormat="1"/>
    <xf numFmtId="166" fontId="0" fillId="3" borderId="0" xfId="0" applyNumberFormat="1" applyFill="1"/>
    <xf numFmtId="168" fontId="0" fillId="0" borderId="0" xfId="0" applyNumberFormat="1"/>
    <xf numFmtId="2" fontId="0" fillId="3" borderId="7" xfId="0" applyNumberFormat="1" applyFill="1" applyBorder="1"/>
    <xf numFmtId="4" fontId="0" fillId="2" borderId="0" xfId="0" applyNumberFormat="1" applyFill="1"/>
    <xf numFmtId="2" fontId="0" fillId="2" borderId="0" xfId="0" applyNumberFormat="1" applyFill="1"/>
    <xf numFmtId="169" fontId="0" fillId="2" borderId="0" xfId="0" applyNumberFormat="1" applyFill="1"/>
    <xf numFmtId="164" fontId="0" fillId="3" borderId="0" xfId="0" applyNumberFormat="1" applyFill="1"/>
    <xf numFmtId="3" fontId="0" fillId="2" borderId="0" xfId="1" applyNumberFormat="1" applyFont="1" applyFill="1"/>
    <xf numFmtId="169" fontId="0" fillId="0" borderId="0" xfId="0" applyNumberFormat="1"/>
    <xf numFmtId="9" fontId="0" fillId="0" borderId="0" xfId="0" applyNumberFormat="1"/>
    <xf numFmtId="4" fontId="0" fillId="0" borderId="7" xfId="0" applyNumberFormat="1" applyBorder="1"/>
    <xf numFmtId="9" fontId="0" fillId="3" borderId="5" xfId="0" applyNumberFormat="1" applyFill="1" applyBorder="1"/>
    <xf numFmtId="4" fontId="0" fillId="3" borderId="7" xfId="0" applyNumberFormat="1" applyFill="1" applyBorder="1"/>
    <xf numFmtId="4" fontId="0" fillId="4" borderId="3" xfId="0" applyNumberFormat="1" applyFill="1" applyBorder="1"/>
    <xf numFmtId="4" fontId="0" fillId="4" borderId="7" xfId="0" applyNumberFormat="1" applyFill="1" applyBorder="1"/>
    <xf numFmtId="3" fontId="0" fillId="3" borderId="0" xfId="0" applyNumberFormat="1" applyFill="1"/>
    <xf numFmtId="2" fontId="0" fillId="3" borderId="0" xfId="0" applyNumberFormat="1" applyFill="1"/>
    <xf numFmtId="4" fontId="0" fillId="4" borderId="0" xfId="0" applyNumberFormat="1" applyFill="1"/>
    <xf numFmtId="3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Replication</a:t>
            </a:r>
            <a:r>
              <a:rPr lang="en-GB" baseline="0"/>
              <a:t> of EKI put, strike=100, barrier=90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5'!$G$29</c:f>
              <c:strCache>
                <c:ptCount val="1"/>
                <c:pt idx="0">
                  <c:v>Vanilla put-90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'Problem 5'!$F$30:$F$65</c:f>
              <c:numCache>
                <c:formatCode>General</c:formatCode>
                <c:ptCount val="36"/>
                <c:pt idx="0">
                  <c:v>70.010000000000005</c:v>
                </c:pt>
                <c:pt idx="1">
                  <c:v>71.010000000000005</c:v>
                </c:pt>
                <c:pt idx="2">
                  <c:v>72.010000000000005</c:v>
                </c:pt>
                <c:pt idx="3">
                  <c:v>73.010000000000005</c:v>
                </c:pt>
                <c:pt idx="4">
                  <c:v>74.010000000000005</c:v>
                </c:pt>
                <c:pt idx="5">
                  <c:v>75.010000000000005</c:v>
                </c:pt>
                <c:pt idx="6">
                  <c:v>76.010000000000005</c:v>
                </c:pt>
                <c:pt idx="7">
                  <c:v>77.010000000000005</c:v>
                </c:pt>
                <c:pt idx="8">
                  <c:v>78.010000000000005</c:v>
                </c:pt>
                <c:pt idx="9">
                  <c:v>79.010000000000005</c:v>
                </c:pt>
                <c:pt idx="10">
                  <c:v>80.010000000000005</c:v>
                </c:pt>
                <c:pt idx="11">
                  <c:v>81.010000000000005</c:v>
                </c:pt>
                <c:pt idx="12">
                  <c:v>82.01</c:v>
                </c:pt>
                <c:pt idx="13">
                  <c:v>83.01</c:v>
                </c:pt>
                <c:pt idx="14">
                  <c:v>84.01</c:v>
                </c:pt>
                <c:pt idx="15">
                  <c:v>85.01</c:v>
                </c:pt>
                <c:pt idx="16">
                  <c:v>86.01</c:v>
                </c:pt>
                <c:pt idx="17">
                  <c:v>87.01</c:v>
                </c:pt>
                <c:pt idx="18">
                  <c:v>88.01</c:v>
                </c:pt>
                <c:pt idx="19">
                  <c:v>89.99</c:v>
                </c:pt>
                <c:pt idx="20">
                  <c:v>90.01</c:v>
                </c:pt>
                <c:pt idx="21">
                  <c:v>91.01</c:v>
                </c:pt>
                <c:pt idx="22">
                  <c:v>92.01</c:v>
                </c:pt>
                <c:pt idx="23">
                  <c:v>93.01</c:v>
                </c:pt>
                <c:pt idx="24">
                  <c:v>94.01</c:v>
                </c:pt>
                <c:pt idx="25">
                  <c:v>95.01</c:v>
                </c:pt>
                <c:pt idx="26">
                  <c:v>96.01</c:v>
                </c:pt>
                <c:pt idx="27">
                  <c:v>97.01</c:v>
                </c:pt>
                <c:pt idx="28">
                  <c:v>98.01</c:v>
                </c:pt>
                <c:pt idx="29">
                  <c:v>99.01</c:v>
                </c:pt>
                <c:pt idx="30">
                  <c:v>100.01</c:v>
                </c:pt>
                <c:pt idx="31">
                  <c:v>101.01</c:v>
                </c:pt>
                <c:pt idx="32">
                  <c:v>102.01</c:v>
                </c:pt>
                <c:pt idx="33">
                  <c:v>103.01</c:v>
                </c:pt>
                <c:pt idx="34">
                  <c:v>104.01</c:v>
                </c:pt>
                <c:pt idx="35">
                  <c:v>105.01</c:v>
                </c:pt>
              </c:numCache>
            </c:numRef>
          </c:xVal>
          <c:yVal>
            <c:numRef>
              <c:f>'Problem 5'!$G$30:$G$65</c:f>
              <c:numCache>
                <c:formatCode>#,##0.00</c:formatCode>
                <c:ptCount val="36"/>
                <c:pt idx="0">
                  <c:v>19.839999999999996</c:v>
                </c:pt>
                <c:pt idx="1">
                  <c:v>18.839999999999996</c:v>
                </c:pt>
                <c:pt idx="2">
                  <c:v>17.839999999999996</c:v>
                </c:pt>
                <c:pt idx="3">
                  <c:v>16.839999999999996</c:v>
                </c:pt>
                <c:pt idx="4">
                  <c:v>15.839999999999995</c:v>
                </c:pt>
                <c:pt idx="5">
                  <c:v>14.839999999999995</c:v>
                </c:pt>
                <c:pt idx="6">
                  <c:v>13.839999999999995</c:v>
                </c:pt>
                <c:pt idx="7">
                  <c:v>12.839999999999995</c:v>
                </c:pt>
                <c:pt idx="8">
                  <c:v>11.839999999999995</c:v>
                </c:pt>
                <c:pt idx="9">
                  <c:v>10.839999999999995</c:v>
                </c:pt>
                <c:pt idx="10">
                  <c:v>9.8399999999999945</c:v>
                </c:pt>
                <c:pt idx="11">
                  <c:v>8.8399999999999945</c:v>
                </c:pt>
                <c:pt idx="12">
                  <c:v>7.8399999999999945</c:v>
                </c:pt>
                <c:pt idx="13">
                  <c:v>6.8399999999999945</c:v>
                </c:pt>
                <c:pt idx="14">
                  <c:v>5.8399999999999945</c:v>
                </c:pt>
                <c:pt idx="15">
                  <c:v>4.8399999999999945</c:v>
                </c:pt>
                <c:pt idx="16">
                  <c:v>3.839999999999995</c:v>
                </c:pt>
                <c:pt idx="17">
                  <c:v>2.839999999999995</c:v>
                </c:pt>
                <c:pt idx="18">
                  <c:v>1.839999999999995</c:v>
                </c:pt>
                <c:pt idx="19">
                  <c:v>-0.13999999999999488</c:v>
                </c:pt>
                <c:pt idx="20">
                  <c:v>-0.15</c:v>
                </c:pt>
                <c:pt idx="21">
                  <c:v>-0.15</c:v>
                </c:pt>
                <c:pt idx="22">
                  <c:v>-0.15</c:v>
                </c:pt>
                <c:pt idx="23">
                  <c:v>-0.15</c:v>
                </c:pt>
                <c:pt idx="24">
                  <c:v>-0.15</c:v>
                </c:pt>
                <c:pt idx="25">
                  <c:v>-0.15</c:v>
                </c:pt>
                <c:pt idx="26">
                  <c:v>-0.15</c:v>
                </c:pt>
                <c:pt idx="27">
                  <c:v>-0.15</c:v>
                </c:pt>
                <c:pt idx="28">
                  <c:v>-0.15</c:v>
                </c:pt>
                <c:pt idx="29">
                  <c:v>-0.15</c:v>
                </c:pt>
                <c:pt idx="30">
                  <c:v>-0.15</c:v>
                </c:pt>
                <c:pt idx="31">
                  <c:v>-0.15</c:v>
                </c:pt>
                <c:pt idx="32">
                  <c:v>-0.15</c:v>
                </c:pt>
                <c:pt idx="33">
                  <c:v>-0.15</c:v>
                </c:pt>
                <c:pt idx="34">
                  <c:v>-0.15</c:v>
                </c:pt>
                <c:pt idx="35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2-4FD9-8CC9-11E274AB40DC}"/>
            </c:ext>
          </c:extLst>
        </c:ser>
        <c:ser>
          <c:idx val="1"/>
          <c:order val="1"/>
          <c:tx>
            <c:strRef>
              <c:f>'Problem 5'!$H$29</c:f>
              <c:strCache>
                <c:ptCount val="1"/>
                <c:pt idx="0">
                  <c:v>10x digital put-90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'Problem 5'!$F$30:$F$65</c:f>
              <c:numCache>
                <c:formatCode>General</c:formatCode>
                <c:ptCount val="36"/>
                <c:pt idx="0">
                  <c:v>70.010000000000005</c:v>
                </c:pt>
                <c:pt idx="1">
                  <c:v>71.010000000000005</c:v>
                </c:pt>
                <c:pt idx="2">
                  <c:v>72.010000000000005</c:v>
                </c:pt>
                <c:pt idx="3">
                  <c:v>73.010000000000005</c:v>
                </c:pt>
                <c:pt idx="4">
                  <c:v>74.010000000000005</c:v>
                </c:pt>
                <c:pt idx="5">
                  <c:v>75.010000000000005</c:v>
                </c:pt>
                <c:pt idx="6">
                  <c:v>76.010000000000005</c:v>
                </c:pt>
                <c:pt idx="7">
                  <c:v>77.010000000000005</c:v>
                </c:pt>
                <c:pt idx="8">
                  <c:v>78.010000000000005</c:v>
                </c:pt>
                <c:pt idx="9">
                  <c:v>79.010000000000005</c:v>
                </c:pt>
                <c:pt idx="10">
                  <c:v>80.010000000000005</c:v>
                </c:pt>
                <c:pt idx="11">
                  <c:v>81.010000000000005</c:v>
                </c:pt>
                <c:pt idx="12">
                  <c:v>82.01</c:v>
                </c:pt>
                <c:pt idx="13">
                  <c:v>83.01</c:v>
                </c:pt>
                <c:pt idx="14">
                  <c:v>84.01</c:v>
                </c:pt>
                <c:pt idx="15">
                  <c:v>85.01</c:v>
                </c:pt>
                <c:pt idx="16">
                  <c:v>86.01</c:v>
                </c:pt>
                <c:pt idx="17">
                  <c:v>87.01</c:v>
                </c:pt>
                <c:pt idx="18">
                  <c:v>88.01</c:v>
                </c:pt>
                <c:pt idx="19">
                  <c:v>89.99</c:v>
                </c:pt>
                <c:pt idx="20">
                  <c:v>90.01</c:v>
                </c:pt>
                <c:pt idx="21">
                  <c:v>91.01</c:v>
                </c:pt>
                <c:pt idx="22">
                  <c:v>92.01</c:v>
                </c:pt>
                <c:pt idx="23">
                  <c:v>93.01</c:v>
                </c:pt>
                <c:pt idx="24">
                  <c:v>94.01</c:v>
                </c:pt>
                <c:pt idx="25">
                  <c:v>95.01</c:v>
                </c:pt>
                <c:pt idx="26">
                  <c:v>96.01</c:v>
                </c:pt>
                <c:pt idx="27">
                  <c:v>97.01</c:v>
                </c:pt>
                <c:pt idx="28">
                  <c:v>98.01</c:v>
                </c:pt>
                <c:pt idx="29">
                  <c:v>99.01</c:v>
                </c:pt>
                <c:pt idx="30">
                  <c:v>100.01</c:v>
                </c:pt>
                <c:pt idx="31">
                  <c:v>101.01</c:v>
                </c:pt>
                <c:pt idx="32">
                  <c:v>102.01</c:v>
                </c:pt>
                <c:pt idx="33">
                  <c:v>103.01</c:v>
                </c:pt>
                <c:pt idx="34">
                  <c:v>104.01</c:v>
                </c:pt>
                <c:pt idx="35">
                  <c:v>105.01</c:v>
                </c:pt>
              </c:numCache>
            </c:numRef>
          </c:xVal>
          <c:yVal>
            <c:numRef>
              <c:f>'Problem 5'!$H$30:$H$65</c:f>
              <c:numCache>
                <c:formatCode>General</c:formatCode>
                <c:ptCount val="36"/>
                <c:pt idx="0">
                  <c:v>10.15</c:v>
                </c:pt>
                <c:pt idx="1">
                  <c:v>10.15</c:v>
                </c:pt>
                <c:pt idx="2">
                  <c:v>10.15</c:v>
                </c:pt>
                <c:pt idx="3">
                  <c:v>10.15</c:v>
                </c:pt>
                <c:pt idx="4">
                  <c:v>10.15</c:v>
                </c:pt>
                <c:pt idx="5">
                  <c:v>10.15</c:v>
                </c:pt>
                <c:pt idx="6">
                  <c:v>10.15</c:v>
                </c:pt>
                <c:pt idx="7">
                  <c:v>10.15</c:v>
                </c:pt>
                <c:pt idx="8">
                  <c:v>10.15</c:v>
                </c:pt>
                <c:pt idx="9">
                  <c:v>10.15</c:v>
                </c:pt>
                <c:pt idx="10">
                  <c:v>10.15</c:v>
                </c:pt>
                <c:pt idx="11">
                  <c:v>10.15</c:v>
                </c:pt>
                <c:pt idx="12">
                  <c:v>10.15</c:v>
                </c:pt>
                <c:pt idx="13">
                  <c:v>10.15</c:v>
                </c:pt>
                <c:pt idx="14">
                  <c:v>10.15</c:v>
                </c:pt>
                <c:pt idx="15">
                  <c:v>10.15</c:v>
                </c:pt>
                <c:pt idx="16">
                  <c:v>10.15</c:v>
                </c:pt>
                <c:pt idx="17">
                  <c:v>10.15</c:v>
                </c:pt>
                <c:pt idx="18">
                  <c:v>10.15</c:v>
                </c:pt>
                <c:pt idx="19">
                  <c:v>10.15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2-4FD9-8CC9-11E274AB40DC}"/>
            </c:ext>
          </c:extLst>
        </c:ser>
        <c:ser>
          <c:idx val="2"/>
          <c:order val="2"/>
          <c:tx>
            <c:strRef>
              <c:f>'Problem 5'!$I$29</c:f>
              <c:strCache>
                <c:ptCount val="1"/>
                <c:pt idx="0">
                  <c:v>Total (EKI put)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 5'!$F$30:$F$65</c:f>
              <c:numCache>
                <c:formatCode>General</c:formatCode>
                <c:ptCount val="36"/>
                <c:pt idx="0">
                  <c:v>70.010000000000005</c:v>
                </c:pt>
                <c:pt idx="1">
                  <c:v>71.010000000000005</c:v>
                </c:pt>
                <c:pt idx="2">
                  <c:v>72.010000000000005</c:v>
                </c:pt>
                <c:pt idx="3">
                  <c:v>73.010000000000005</c:v>
                </c:pt>
                <c:pt idx="4">
                  <c:v>74.010000000000005</c:v>
                </c:pt>
                <c:pt idx="5">
                  <c:v>75.010000000000005</c:v>
                </c:pt>
                <c:pt idx="6">
                  <c:v>76.010000000000005</c:v>
                </c:pt>
                <c:pt idx="7">
                  <c:v>77.010000000000005</c:v>
                </c:pt>
                <c:pt idx="8">
                  <c:v>78.010000000000005</c:v>
                </c:pt>
                <c:pt idx="9">
                  <c:v>79.010000000000005</c:v>
                </c:pt>
                <c:pt idx="10">
                  <c:v>80.010000000000005</c:v>
                </c:pt>
                <c:pt idx="11">
                  <c:v>81.010000000000005</c:v>
                </c:pt>
                <c:pt idx="12">
                  <c:v>82.01</c:v>
                </c:pt>
                <c:pt idx="13">
                  <c:v>83.01</c:v>
                </c:pt>
                <c:pt idx="14">
                  <c:v>84.01</c:v>
                </c:pt>
                <c:pt idx="15">
                  <c:v>85.01</c:v>
                </c:pt>
                <c:pt idx="16">
                  <c:v>86.01</c:v>
                </c:pt>
                <c:pt idx="17">
                  <c:v>87.01</c:v>
                </c:pt>
                <c:pt idx="18">
                  <c:v>88.01</c:v>
                </c:pt>
                <c:pt idx="19">
                  <c:v>89.99</c:v>
                </c:pt>
                <c:pt idx="20">
                  <c:v>90.01</c:v>
                </c:pt>
                <c:pt idx="21">
                  <c:v>91.01</c:v>
                </c:pt>
                <c:pt idx="22">
                  <c:v>92.01</c:v>
                </c:pt>
                <c:pt idx="23">
                  <c:v>93.01</c:v>
                </c:pt>
                <c:pt idx="24">
                  <c:v>94.01</c:v>
                </c:pt>
                <c:pt idx="25">
                  <c:v>95.01</c:v>
                </c:pt>
                <c:pt idx="26">
                  <c:v>96.01</c:v>
                </c:pt>
                <c:pt idx="27">
                  <c:v>97.01</c:v>
                </c:pt>
                <c:pt idx="28">
                  <c:v>98.01</c:v>
                </c:pt>
                <c:pt idx="29">
                  <c:v>99.01</c:v>
                </c:pt>
                <c:pt idx="30">
                  <c:v>100.01</c:v>
                </c:pt>
                <c:pt idx="31">
                  <c:v>101.01</c:v>
                </c:pt>
                <c:pt idx="32">
                  <c:v>102.01</c:v>
                </c:pt>
                <c:pt idx="33">
                  <c:v>103.01</c:v>
                </c:pt>
                <c:pt idx="34">
                  <c:v>104.01</c:v>
                </c:pt>
                <c:pt idx="35">
                  <c:v>105.01</c:v>
                </c:pt>
              </c:numCache>
            </c:numRef>
          </c:xVal>
          <c:yVal>
            <c:numRef>
              <c:f>'Problem 5'!$I$30:$I$65</c:f>
              <c:numCache>
                <c:formatCode>#,##0.00</c:formatCode>
                <c:ptCount val="36"/>
                <c:pt idx="0">
                  <c:v>29.989999999999995</c:v>
                </c:pt>
                <c:pt idx="1">
                  <c:v>28.989999999999995</c:v>
                </c:pt>
                <c:pt idx="2">
                  <c:v>27.989999999999995</c:v>
                </c:pt>
                <c:pt idx="3">
                  <c:v>26.989999999999995</c:v>
                </c:pt>
                <c:pt idx="4">
                  <c:v>25.989999999999995</c:v>
                </c:pt>
                <c:pt idx="5">
                  <c:v>24.989999999999995</c:v>
                </c:pt>
                <c:pt idx="6">
                  <c:v>23.989999999999995</c:v>
                </c:pt>
                <c:pt idx="7">
                  <c:v>22.989999999999995</c:v>
                </c:pt>
                <c:pt idx="8">
                  <c:v>21.989999999999995</c:v>
                </c:pt>
                <c:pt idx="9">
                  <c:v>20.989999999999995</c:v>
                </c:pt>
                <c:pt idx="10">
                  <c:v>19.989999999999995</c:v>
                </c:pt>
                <c:pt idx="11">
                  <c:v>18.989999999999995</c:v>
                </c:pt>
                <c:pt idx="12">
                  <c:v>17.989999999999995</c:v>
                </c:pt>
                <c:pt idx="13">
                  <c:v>16.989999999999995</c:v>
                </c:pt>
                <c:pt idx="14">
                  <c:v>15.989999999999995</c:v>
                </c:pt>
                <c:pt idx="15">
                  <c:v>14.989999999999995</c:v>
                </c:pt>
                <c:pt idx="16">
                  <c:v>13.989999999999995</c:v>
                </c:pt>
                <c:pt idx="17">
                  <c:v>12.989999999999995</c:v>
                </c:pt>
                <c:pt idx="18">
                  <c:v>11.989999999999995</c:v>
                </c:pt>
                <c:pt idx="19">
                  <c:v>10.010000000000005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2-4FD9-8CC9-11E274AB4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987760"/>
        <c:axId val="1724989680"/>
      </c:scatterChart>
      <c:valAx>
        <c:axId val="1724987760"/>
        <c:scaling>
          <c:orientation val="minMax"/>
          <c:max val="105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89680"/>
        <c:crosses val="autoZero"/>
        <c:crossBetween val="midCat"/>
      </c:valAx>
      <c:valAx>
        <c:axId val="172498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17</xdr:row>
      <xdr:rowOff>190500</xdr:rowOff>
    </xdr:from>
    <xdr:to>
      <xdr:col>3</xdr:col>
      <xdr:colOff>9525</xdr:colOff>
      <xdr:row>19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D8DC32F-6072-4097-96A0-38AF1B36D57D}"/>
            </a:ext>
          </a:extLst>
        </xdr:cNvPr>
        <xdr:cNvCxnSpPr/>
      </xdr:nvCxnSpPr>
      <xdr:spPr>
        <a:xfrm flipV="1">
          <a:off x="1200150" y="3322320"/>
          <a:ext cx="6381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19</xdr:row>
      <xdr:rowOff>133350</xdr:rowOff>
    </xdr:from>
    <xdr:to>
      <xdr:col>2</xdr:col>
      <xdr:colOff>581025</xdr:colOff>
      <xdr:row>22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15D920-FE07-4073-9337-D4EEF9C5E930}"/>
            </a:ext>
          </a:extLst>
        </xdr:cNvPr>
        <xdr:cNvCxnSpPr/>
      </xdr:nvCxnSpPr>
      <xdr:spPr>
        <a:xfrm>
          <a:off x="1209675" y="3646170"/>
          <a:ext cx="590550" cy="440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123825</xdr:rowOff>
    </xdr:from>
    <xdr:to>
      <xdr:col>2</xdr:col>
      <xdr:colOff>542925</xdr:colOff>
      <xdr:row>34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2496F59-5C97-4BEC-91E5-70C48FEBE12B}"/>
            </a:ext>
          </a:extLst>
        </xdr:cNvPr>
        <xdr:cNvCxnSpPr/>
      </xdr:nvCxnSpPr>
      <xdr:spPr>
        <a:xfrm flipV="1">
          <a:off x="1219200" y="6196965"/>
          <a:ext cx="542925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66675</xdr:rowOff>
    </xdr:from>
    <xdr:to>
      <xdr:col>2</xdr:col>
      <xdr:colOff>590550</xdr:colOff>
      <xdr:row>37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BB39B9-C358-458E-98BD-CDDC536A041A}"/>
            </a:ext>
          </a:extLst>
        </xdr:cNvPr>
        <xdr:cNvCxnSpPr/>
      </xdr:nvCxnSpPr>
      <xdr:spPr>
        <a:xfrm>
          <a:off x="1219200" y="6703695"/>
          <a:ext cx="59055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66675</xdr:rowOff>
    </xdr:from>
    <xdr:to>
      <xdr:col>5</xdr:col>
      <xdr:colOff>600075</xdr:colOff>
      <xdr:row>31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42EB562-FD2C-4441-8792-A9E8A04E8920}"/>
            </a:ext>
          </a:extLst>
        </xdr:cNvPr>
        <xdr:cNvCxnSpPr/>
      </xdr:nvCxnSpPr>
      <xdr:spPr>
        <a:xfrm flipV="1">
          <a:off x="3048000" y="5575935"/>
          <a:ext cx="600075" cy="621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85725</xdr:rowOff>
    </xdr:from>
    <xdr:to>
      <xdr:col>9</xdr:col>
      <xdr:colOff>0</xdr:colOff>
      <xdr:row>28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10346A8-E7DE-4AFA-928A-3611AEB09155}"/>
            </a:ext>
          </a:extLst>
        </xdr:cNvPr>
        <xdr:cNvCxnSpPr/>
      </xdr:nvCxnSpPr>
      <xdr:spPr>
        <a:xfrm flipV="1">
          <a:off x="4876800" y="5031105"/>
          <a:ext cx="60960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31</xdr:row>
      <xdr:rowOff>85725</xdr:rowOff>
    </xdr:from>
    <xdr:to>
      <xdr:col>8</xdr:col>
      <xdr:colOff>600075</xdr:colOff>
      <xdr:row>34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45655D-CC07-4727-8DCA-36837383BE28}"/>
            </a:ext>
          </a:extLst>
        </xdr:cNvPr>
        <xdr:cNvCxnSpPr/>
      </xdr:nvCxnSpPr>
      <xdr:spPr>
        <a:xfrm flipV="1">
          <a:off x="4867275" y="6158865"/>
          <a:ext cx="60960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37</xdr:row>
      <xdr:rowOff>95250</xdr:rowOff>
    </xdr:from>
    <xdr:to>
      <xdr:col>8</xdr:col>
      <xdr:colOff>600075</xdr:colOff>
      <xdr:row>40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7A6267F-BE54-4967-AEA7-74EACA6A0981}"/>
            </a:ext>
          </a:extLst>
        </xdr:cNvPr>
        <xdr:cNvCxnSpPr/>
      </xdr:nvCxnSpPr>
      <xdr:spPr>
        <a:xfrm flipV="1">
          <a:off x="4867275" y="7296150"/>
          <a:ext cx="60960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34</xdr:row>
      <xdr:rowOff>114300</xdr:rowOff>
    </xdr:from>
    <xdr:to>
      <xdr:col>5</xdr:col>
      <xdr:colOff>561975</xdr:colOff>
      <xdr:row>37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B7A8636-E71A-42E1-A12F-15735B1CA99F}"/>
            </a:ext>
          </a:extLst>
        </xdr:cNvPr>
        <xdr:cNvCxnSpPr/>
      </xdr:nvCxnSpPr>
      <xdr:spPr>
        <a:xfrm flipV="1">
          <a:off x="3000375" y="6751320"/>
          <a:ext cx="60960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31</xdr:row>
      <xdr:rowOff>152400</xdr:rowOff>
    </xdr:from>
    <xdr:to>
      <xdr:col>5</xdr:col>
      <xdr:colOff>571500</xdr:colOff>
      <xdr:row>35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D252091-4DB5-4AD3-8F03-3A62EFAFC827}"/>
            </a:ext>
          </a:extLst>
        </xdr:cNvPr>
        <xdr:cNvCxnSpPr/>
      </xdr:nvCxnSpPr>
      <xdr:spPr>
        <a:xfrm>
          <a:off x="3028950" y="6225540"/>
          <a:ext cx="590550" cy="63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37</xdr:row>
      <xdr:rowOff>114300</xdr:rowOff>
    </xdr:from>
    <xdr:to>
      <xdr:col>5</xdr:col>
      <xdr:colOff>600075</xdr:colOff>
      <xdr:row>40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2C19460-1571-4017-ADA9-F00DF6366D22}"/>
            </a:ext>
          </a:extLst>
        </xdr:cNvPr>
        <xdr:cNvCxnSpPr/>
      </xdr:nvCxnSpPr>
      <xdr:spPr>
        <a:xfrm>
          <a:off x="3057525" y="7315200"/>
          <a:ext cx="59055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40</xdr:row>
      <xdr:rowOff>142875</xdr:rowOff>
    </xdr:from>
    <xdr:to>
      <xdr:col>8</xdr:col>
      <xdr:colOff>581025</xdr:colOff>
      <xdr:row>44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3B4B3AD-01A1-4DEB-8DD0-91D0A55D9D8B}"/>
            </a:ext>
          </a:extLst>
        </xdr:cNvPr>
        <xdr:cNvCxnSpPr/>
      </xdr:nvCxnSpPr>
      <xdr:spPr>
        <a:xfrm>
          <a:off x="4867275" y="7907655"/>
          <a:ext cx="59055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34</xdr:row>
      <xdr:rowOff>57150</xdr:rowOff>
    </xdr:from>
    <xdr:to>
      <xdr:col>8</xdr:col>
      <xdr:colOff>600075</xdr:colOff>
      <xdr:row>37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AD3F70A-6580-442D-A463-2137AFDA86BD}"/>
            </a:ext>
          </a:extLst>
        </xdr:cNvPr>
        <xdr:cNvCxnSpPr/>
      </xdr:nvCxnSpPr>
      <xdr:spPr>
        <a:xfrm>
          <a:off x="4886325" y="6694170"/>
          <a:ext cx="59055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28</xdr:row>
      <xdr:rowOff>57150</xdr:rowOff>
    </xdr:from>
    <xdr:to>
      <xdr:col>9</xdr:col>
      <xdr:colOff>0</xdr:colOff>
      <xdr:row>31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453C1BF-A60B-428A-AE4F-B4097F9EE2EA}"/>
            </a:ext>
          </a:extLst>
        </xdr:cNvPr>
        <xdr:cNvCxnSpPr/>
      </xdr:nvCxnSpPr>
      <xdr:spPr>
        <a:xfrm>
          <a:off x="4895850" y="5566410"/>
          <a:ext cx="59055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30</xdr:row>
      <xdr:rowOff>3810</xdr:rowOff>
    </xdr:from>
    <xdr:to>
      <xdr:col>13</xdr:col>
      <xdr:colOff>297180</xdr:colOff>
      <xdr:row>59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5AC34-0895-6DB2-925E-C492BB777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BFCF-2DDD-4AFB-AD40-4C7883E0C94A}">
  <dimension ref="A1:E48"/>
  <sheetViews>
    <sheetView tabSelected="1" workbookViewId="0">
      <selection activeCell="D23" sqref="D23"/>
    </sheetView>
  </sheetViews>
  <sheetFormatPr defaultRowHeight="14.5" x14ac:dyDescent="0.35"/>
  <sheetData>
    <row r="1" spans="1:5" x14ac:dyDescent="0.35">
      <c r="A1" s="1" t="s">
        <v>100</v>
      </c>
    </row>
    <row r="3" spans="1:5" x14ac:dyDescent="0.35">
      <c r="A3" t="s">
        <v>101</v>
      </c>
    </row>
    <row r="4" spans="1:5" x14ac:dyDescent="0.35">
      <c r="A4" t="s">
        <v>104</v>
      </c>
    </row>
    <row r="5" spans="1:5" x14ac:dyDescent="0.35">
      <c r="A5" t="s">
        <v>105</v>
      </c>
    </row>
    <row r="6" spans="1:5" x14ac:dyDescent="0.35">
      <c r="A6" t="s">
        <v>106</v>
      </c>
    </row>
    <row r="7" spans="1:5" x14ac:dyDescent="0.35">
      <c r="A7" t="s">
        <v>107</v>
      </c>
    </row>
    <row r="8" spans="1:5" x14ac:dyDescent="0.35">
      <c r="A8" t="s">
        <v>102</v>
      </c>
    </row>
    <row r="9" spans="1:5" x14ac:dyDescent="0.35">
      <c r="A9" t="s">
        <v>103</v>
      </c>
    </row>
    <row r="11" spans="1:5" x14ac:dyDescent="0.35">
      <c r="A11" t="s">
        <v>0</v>
      </c>
      <c r="B11" s="2">
        <v>100</v>
      </c>
      <c r="D11" t="s">
        <v>1</v>
      </c>
      <c r="E11" s="3">
        <v>0</v>
      </c>
    </row>
    <row r="12" spans="1:5" x14ac:dyDescent="0.35">
      <c r="A12" t="s">
        <v>2</v>
      </c>
      <c r="B12" s="2">
        <v>1.2</v>
      </c>
      <c r="D12" t="s">
        <v>3</v>
      </c>
      <c r="E12" s="4">
        <f>1/12</f>
        <v>8.3333333333333329E-2</v>
      </c>
    </row>
    <row r="13" spans="1:5" x14ac:dyDescent="0.35">
      <c r="A13" t="s">
        <v>4</v>
      </c>
      <c r="B13" s="2">
        <v>0.8</v>
      </c>
    </row>
    <row r="14" spans="1:5" x14ac:dyDescent="0.35">
      <c r="A14" t="s">
        <v>5</v>
      </c>
      <c r="B14" s="2">
        <v>95</v>
      </c>
      <c r="D14" t="s">
        <v>6</v>
      </c>
      <c r="E14" s="5">
        <v>5</v>
      </c>
    </row>
    <row r="15" spans="1:5" ht="15" thickBot="1" x14ac:dyDescent="0.4"/>
    <row r="16" spans="1:5" ht="15" thickBot="1" x14ac:dyDescent="0.4">
      <c r="A16" t="s">
        <v>7</v>
      </c>
      <c r="D16" s="6">
        <f>(1 + E11*E12 - B13) / (B12 - B13)</f>
        <v>0.5</v>
      </c>
    </row>
    <row r="17" spans="1:5" ht="15" thickBot="1" x14ac:dyDescent="0.4"/>
    <row r="18" spans="1:5" ht="15" thickBot="1" x14ac:dyDescent="0.4">
      <c r="D18" s="7" t="s">
        <v>8</v>
      </c>
      <c r="E18" s="8">
        <f>B19*$B$12</f>
        <v>120</v>
      </c>
    </row>
    <row r="19" spans="1:5" ht="15" thickBot="1" x14ac:dyDescent="0.4">
      <c r="A19" s="7" t="s">
        <v>8</v>
      </c>
      <c r="B19" s="9">
        <f>B11</f>
        <v>100</v>
      </c>
      <c r="D19" s="10" t="s">
        <v>9</v>
      </c>
      <c r="E19" s="11">
        <f>MAX($B$14 - E18, 0)</f>
        <v>0</v>
      </c>
    </row>
    <row r="20" spans="1:5" x14ac:dyDescent="0.35">
      <c r="A20" s="12" t="s">
        <v>10</v>
      </c>
      <c r="B20" s="25">
        <f>($D$16 *E19 + (1 - $D$16)*E23) / (1 + $E$11*$E$12)</f>
        <v>7.5</v>
      </c>
    </row>
    <row r="21" spans="1:5" ht="15" thickBot="1" x14ac:dyDescent="0.4">
      <c r="A21" s="12" t="s">
        <v>11</v>
      </c>
      <c r="B21" s="13">
        <f>(E19 - E23) / (E18 - E22)</f>
        <v>-0.375</v>
      </c>
      <c r="E21" s="14"/>
    </row>
    <row r="22" spans="1:5" ht="15" thickBot="1" x14ac:dyDescent="0.4">
      <c r="A22" s="10" t="s">
        <v>12</v>
      </c>
      <c r="B22" s="11">
        <f>(E23*B12 - E19*B13) / ((1 + E11*E12) * (B12-B13))</f>
        <v>45.000000000000007</v>
      </c>
      <c r="D22" s="7" t="s">
        <v>8</v>
      </c>
      <c r="E22" s="15">
        <f>B19*$B$13</f>
        <v>80</v>
      </c>
    </row>
    <row r="23" spans="1:5" ht="15" thickBot="1" x14ac:dyDescent="0.4">
      <c r="D23" s="10" t="s">
        <v>9</v>
      </c>
      <c r="E23" s="11">
        <f>MAX($B$14 - E22, 0)</f>
        <v>15</v>
      </c>
    </row>
    <row r="24" spans="1:5" x14ac:dyDescent="0.35">
      <c r="E24" s="16"/>
    </row>
    <row r="25" spans="1:5" x14ac:dyDescent="0.35">
      <c r="A25" t="s">
        <v>13</v>
      </c>
    </row>
    <row r="27" spans="1:5" x14ac:dyDescent="0.35">
      <c r="A27" t="s">
        <v>18</v>
      </c>
      <c r="B27" s="17"/>
      <c r="C27" s="19"/>
    </row>
    <row r="28" spans="1:5" x14ac:dyDescent="0.35">
      <c r="C28" t="s">
        <v>12</v>
      </c>
      <c r="D28" t="s">
        <v>8</v>
      </c>
      <c r="E28" t="s">
        <v>24</v>
      </c>
    </row>
    <row r="29" spans="1:5" x14ac:dyDescent="0.35">
      <c r="A29" t="s">
        <v>15</v>
      </c>
      <c r="C29" s="19">
        <f>-C30-C31</f>
        <v>42.5</v>
      </c>
    </row>
    <row r="30" spans="1:5" x14ac:dyDescent="0.35">
      <c r="A30" t="s">
        <v>16</v>
      </c>
      <c r="C30" s="20">
        <f>-E14*E30</f>
        <v>-5</v>
      </c>
      <c r="E30">
        <v>1</v>
      </c>
    </row>
    <row r="31" spans="1:5" x14ac:dyDescent="0.35">
      <c r="A31" t="s">
        <v>17</v>
      </c>
      <c r="C31">
        <f>-D31*B19</f>
        <v>-37.5</v>
      </c>
      <c r="D31">
        <f>-B21</f>
        <v>0.375</v>
      </c>
    </row>
    <row r="32" spans="1:5" x14ac:dyDescent="0.35">
      <c r="A32" t="s">
        <v>14</v>
      </c>
      <c r="C32" s="23">
        <f>SUM(C29:C31)</f>
        <v>0</v>
      </c>
      <c r="D32" s="22">
        <f>SUM(D29:D31)</f>
        <v>0.375</v>
      </c>
      <c r="E32" s="21">
        <f>SUM(E29:E31)</f>
        <v>1</v>
      </c>
    </row>
    <row r="34" spans="1:5" x14ac:dyDescent="0.35">
      <c r="A34" t="str">
        <f>"1. In case stock price is $" &amp; E18</f>
        <v>1. In case stock price is $120</v>
      </c>
    </row>
    <row r="35" spans="1:5" x14ac:dyDescent="0.35">
      <c r="C35" t="s">
        <v>12</v>
      </c>
      <c r="D35" t="s">
        <v>8</v>
      </c>
      <c r="E35" t="s">
        <v>24</v>
      </c>
    </row>
    <row r="36" spans="1:5" x14ac:dyDescent="0.35">
      <c r="A36" t="s">
        <v>19</v>
      </c>
      <c r="C36" s="19">
        <f>C32</f>
        <v>0</v>
      </c>
      <c r="D36" s="22">
        <f>D32</f>
        <v>0.375</v>
      </c>
      <c r="E36" s="21">
        <f>E32</f>
        <v>1</v>
      </c>
    </row>
    <row r="37" spans="1:5" x14ac:dyDescent="0.35">
      <c r="A37" t="s">
        <v>20</v>
      </c>
      <c r="C37" s="19"/>
      <c r="D37" s="21"/>
      <c r="E37">
        <v>-1</v>
      </c>
    </row>
    <row r="38" spans="1:5" x14ac:dyDescent="0.35">
      <c r="A38" t="s">
        <v>21</v>
      </c>
      <c r="C38" s="19">
        <f>-E18*D38</f>
        <v>45</v>
      </c>
      <c r="D38" s="22">
        <f>-D36</f>
        <v>-0.375</v>
      </c>
    </row>
    <row r="39" spans="1:5" x14ac:dyDescent="0.35">
      <c r="A39" t="s">
        <v>22</v>
      </c>
      <c r="C39" s="19">
        <f>-C29*(1 + E11*E12)</f>
        <v>-42.5</v>
      </c>
      <c r="D39" s="21"/>
    </row>
    <row r="40" spans="1:5" x14ac:dyDescent="0.35">
      <c r="A40" t="s">
        <v>23</v>
      </c>
      <c r="C40" s="23">
        <f>SUM(C36:C39)</f>
        <v>2.5</v>
      </c>
      <c r="D40" s="21">
        <f>SUM(D36:D39)</f>
        <v>0</v>
      </c>
      <c r="E40" s="21">
        <f>SUM(E36:E39)</f>
        <v>0</v>
      </c>
    </row>
    <row r="42" spans="1:5" x14ac:dyDescent="0.35">
      <c r="A42" t="str">
        <f>"2. In case stock price is $" &amp; E22</f>
        <v>2. In case stock price is $80</v>
      </c>
    </row>
    <row r="43" spans="1:5" x14ac:dyDescent="0.35">
      <c r="C43" t="s">
        <v>12</v>
      </c>
      <c r="D43" t="s">
        <v>8</v>
      </c>
      <c r="E43" t="s">
        <v>24</v>
      </c>
    </row>
    <row r="44" spans="1:5" x14ac:dyDescent="0.35">
      <c r="A44" t="s">
        <v>19</v>
      </c>
      <c r="C44" s="19">
        <f>C32</f>
        <v>0</v>
      </c>
      <c r="D44" s="22">
        <f t="shared" ref="D44:E44" si="0">D32</f>
        <v>0.375</v>
      </c>
      <c r="E44" s="21">
        <f t="shared" si="0"/>
        <v>1</v>
      </c>
    </row>
    <row r="45" spans="1:5" x14ac:dyDescent="0.35">
      <c r="A45" t="s">
        <v>25</v>
      </c>
      <c r="C45" s="19">
        <f>-D45*B14</f>
        <v>95</v>
      </c>
      <c r="D45" s="22">
        <f>-D44-D46</f>
        <v>-1</v>
      </c>
      <c r="E45" s="21">
        <f>-E44</f>
        <v>-1</v>
      </c>
    </row>
    <row r="46" spans="1:5" x14ac:dyDescent="0.35">
      <c r="A46" t="s">
        <v>26</v>
      </c>
      <c r="C46" s="20">
        <f>-D46*E22</f>
        <v>-50</v>
      </c>
      <c r="D46" s="22">
        <f>1-D44</f>
        <v>0.625</v>
      </c>
      <c r="E46" s="21"/>
    </row>
    <row r="47" spans="1:5" x14ac:dyDescent="0.35">
      <c r="A47" t="s">
        <v>22</v>
      </c>
      <c r="C47" s="20">
        <f>-C29*(1+E11*E12)</f>
        <v>-42.5</v>
      </c>
    </row>
    <row r="48" spans="1:5" x14ac:dyDescent="0.35">
      <c r="A48" t="s">
        <v>23</v>
      </c>
      <c r="C48" s="23">
        <f>SUM(C44:C47)</f>
        <v>2.5</v>
      </c>
      <c r="D48" s="21">
        <f t="shared" ref="D48:E48" si="1">SUM(D44:D47)</f>
        <v>0</v>
      </c>
      <c r="E48" s="21">
        <f t="shared" si="1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D956-45DB-46E7-B99F-51425E0CF67A}">
  <dimension ref="A1:E23"/>
  <sheetViews>
    <sheetView workbookViewId="0">
      <selection activeCell="A8" sqref="A8"/>
    </sheetView>
  </sheetViews>
  <sheetFormatPr defaultRowHeight="14.5" x14ac:dyDescent="0.35"/>
  <sheetData>
    <row r="1" spans="1:5" x14ac:dyDescent="0.35">
      <c r="A1" s="1" t="s">
        <v>108</v>
      </c>
    </row>
    <row r="3" spans="1:5" x14ac:dyDescent="0.35">
      <c r="A3" t="s">
        <v>110</v>
      </c>
    </row>
    <row r="4" spans="1:5" x14ac:dyDescent="0.35">
      <c r="A4" t="s">
        <v>111</v>
      </c>
    </row>
    <row r="5" spans="1:5" x14ac:dyDescent="0.35">
      <c r="A5" t="s">
        <v>109</v>
      </c>
    </row>
    <row r="6" spans="1:5" x14ac:dyDescent="0.35">
      <c r="A6" t="s">
        <v>112</v>
      </c>
    </row>
    <row r="7" spans="1:5" x14ac:dyDescent="0.35">
      <c r="A7" t="s">
        <v>113</v>
      </c>
    </row>
    <row r="10" spans="1:5" x14ac:dyDescent="0.35">
      <c r="A10" t="s">
        <v>27</v>
      </c>
      <c r="B10" s="26">
        <v>200</v>
      </c>
      <c r="D10" t="s">
        <v>28</v>
      </c>
      <c r="E10" s="2">
        <v>1000</v>
      </c>
    </row>
    <row r="11" spans="1:5" x14ac:dyDescent="0.35">
      <c r="A11" t="s">
        <v>29</v>
      </c>
      <c r="B11" s="26">
        <v>90</v>
      </c>
    </row>
    <row r="12" spans="1:5" x14ac:dyDescent="0.35">
      <c r="A12" t="s">
        <v>30</v>
      </c>
      <c r="B12" s="27">
        <v>0.25</v>
      </c>
    </row>
    <row r="13" spans="1:5" x14ac:dyDescent="0.35">
      <c r="A13" t="s">
        <v>31</v>
      </c>
      <c r="B13" s="28">
        <v>0.03</v>
      </c>
    </row>
    <row r="14" spans="1:5" x14ac:dyDescent="0.35">
      <c r="A14" t="s">
        <v>32</v>
      </c>
      <c r="B14" s="28">
        <v>0</v>
      </c>
    </row>
    <row r="15" spans="1:5" x14ac:dyDescent="0.35">
      <c r="A15" t="s">
        <v>33</v>
      </c>
      <c r="B15" s="3">
        <v>0.4</v>
      </c>
    </row>
    <row r="16" spans="1:5" x14ac:dyDescent="0.35">
      <c r="A16" t="s">
        <v>34</v>
      </c>
      <c r="B16" s="24">
        <f xml:space="preserve"> 1 / (B15 * SQRT(B12)) * (LN(B10/B11) + (B13 - B14 + B15^2/2)*B12)</f>
        <v>4.1300384810888584</v>
      </c>
    </row>
    <row r="17" spans="1:3" x14ac:dyDescent="0.35">
      <c r="A17" t="s">
        <v>35</v>
      </c>
      <c r="B17" s="24">
        <f xml:space="preserve"> 1 / (B15 * SQRT(B12)) * (LN(B10/B11) + (B13 - B14 - B15^2/2)*B12)</f>
        <v>3.9300384810888582</v>
      </c>
    </row>
    <row r="18" spans="1:3" x14ac:dyDescent="0.35">
      <c r="A18" t="s">
        <v>36</v>
      </c>
      <c r="B18" s="17">
        <f>B10 * EXP(-B14*B12) *_xlfn.NORM.DIST(B16, 0, 1, 1) - B11 * EXP(-B13*B12) *_xlfn.NORM.DIST(B17, 0, 1, 1)</f>
        <v>110.67264143572029</v>
      </c>
    </row>
    <row r="19" spans="1:3" x14ac:dyDescent="0.35">
      <c r="A19" t="s">
        <v>37</v>
      </c>
      <c r="B19" s="17">
        <f>B11 * EXP(-B13*B12) *_xlfn.NORM.DIST(-B17, 0, 1, 1) - B10 * EXP(-B14*B12) *_xlfn.NORM.DIST(-B16, 0, 1, 1)</f>
        <v>1.6636944275158017E-4</v>
      </c>
    </row>
    <row r="20" spans="1:3" x14ac:dyDescent="0.35">
      <c r="A20" t="s">
        <v>38</v>
      </c>
      <c r="B20" s="17">
        <f>EXP(-B13*B12) *_xlfn.NORM.DIST(B17, 0, 1, 1)</f>
        <v>0.99248590598981634</v>
      </c>
    </row>
    <row r="21" spans="1:3" x14ac:dyDescent="0.35">
      <c r="A21" t="s">
        <v>39</v>
      </c>
      <c r="B21" s="17">
        <f>EXP(-B13*B12) *_xlfn.NORM.DIST(-B17, 0, 1, 1)</f>
        <v>4.2148829322132774E-5</v>
      </c>
    </row>
    <row r="23" spans="1:3" x14ac:dyDescent="0.35">
      <c r="A23" t="s">
        <v>40</v>
      </c>
      <c r="B23" s="29">
        <f>B21 * E10</f>
        <v>4.2148829322132771E-2</v>
      </c>
      <c r="C2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E6D7-5E5F-4746-8AF2-F04D90BC3D89}">
  <dimension ref="A1:D37"/>
  <sheetViews>
    <sheetView workbookViewId="0">
      <selection activeCell="A16" activeCellId="1" sqref="A7:XFD7 A16:XFD16"/>
    </sheetView>
  </sheetViews>
  <sheetFormatPr defaultRowHeight="14.5" x14ac:dyDescent="0.35"/>
  <cols>
    <col min="2" max="2" width="12.453125" bestFit="1" customWidth="1"/>
    <col min="3" max="3" width="10.90625" bestFit="1" customWidth="1"/>
    <col min="5" max="5" width="11.1796875" bestFit="1" customWidth="1"/>
  </cols>
  <sheetData>
    <row r="1" spans="1:1" x14ac:dyDescent="0.35">
      <c r="A1" s="1" t="s">
        <v>114</v>
      </c>
    </row>
    <row r="3" spans="1:1" x14ac:dyDescent="0.35">
      <c r="A3" t="s">
        <v>124</v>
      </c>
    </row>
    <row r="4" spans="1:1" x14ac:dyDescent="0.35">
      <c r="A4" t="s">
        <v>125</v>
      </c>
    </row>
    <row r="5" spans="1:1" x14ac:dyDescent="0.35">
      <c r="A5" t="s">
        <v>115</v>
      </c>
    </row>
    <row r="6" spans="1:1" x14ac:dyDescent="0.35">
      <c r="A6" t="s">
        <v>116</v>
      </c>
    </row>
    <row r="7" spans="1:1" x14ac:dyDescent="0.35">
      <c r="A7" t="s">
        <v>126</v>
      </c>
    </row>
    <row r="8" spans="1:1" x14ac:dyDescent="0.35">
      <c r="A8" t="s">
        <v>127</v>
      </c>
    </row>
    <row r="9" spans="1:1" x14ac:dyDescent="0.35">
      <c r="A9" t="s">
        <v>128</v>
      </c>
    </row>
    <row r="10" spans="1:1" x14ac:dyDescent="0.35">
      <c r="A10" t="s">
        <v>117</v>
      </c>
    </row>
    <row r="11" spans="1:1" x14ac:dyDescent="0.35">
      <c r="A11" t="s">
        <v>129</v>
      </c>
    </row>
    <row r="12" spans="1:1" x14ac:dyDescent="0.35">
      <c r="A12" t="s">
        <v>130</v>
      </c>
    </row>
    <row r="13" spans="1:1" x14ac:dyDescent="0.35">
      <c r="A13" t="s">
        <v>131</v>
      </c>
    </row>
    <row r="14" spans="1:1" x14ac:dyDescent="0.35">
      <c r="A14" t="s">
        <v>118</v>
      </c>
    </row>
    <row r="15" spans="1:1" x14ac:dyDescent="0.35">
      <c r="A15" t="s">
        <v>119</v>
      </c>
    </row>
    <row r="16" spans="1:1" x14ac:dyDescent="0.35">
      <c r="A16" t="s">
        <v>120</v>
      </c>
    </row>
    <row r="17" spans="1:4" x14ac:dyDescent="0.35">
      <c r="A17" t="s">
        <v>121</v>
      </c>
    </row>
    <row r="18" spans="1:4" x14ac:dyDescent="0.35">
      <c r="A18" t="s">
        <v>122</v>
      </c>
    </row>
    <row r="19" spans="1:4" x14ac:dyDescent="0.35">
      <c r="A19" t="s">
        <v>132</v>
      </c>
    </row>
    <row r="20" spans="1:4" x14ac:dyDescent="0.35">
      <c r="A20" t="s">
        <v>133</v>
      </c>
    </row>
    <row r="21" spans="1:4" x14ac:dyDescent="0.35">
      <c r="A21" t="s">
        <v>123</v>
      </c>
    </row>
    <row r="23" spans="1:4" x14ac:dyDescent="0.35">
      <c r="A23" t="s">
        <v>45</v>
      </c>
      <c r="B23" s="30">
        <v>10000000</v>
      </c>
    </row>
    <row r="24" spans="1:4" x14ac:dyDescent="0.35">
      <c r="A24" t="s">
        <v>44</v>
      </c>
      <c r="B24" s="26">
        <v>130</v>
      </c>
      <c r="C24" s="17">
        <f>B24</f>
        <v>130</v>
      </c>
    </row>
    <row r="25" spans="1:4" x14ac:dyDescent="0.35">
      <c r="A25" t="s">
        <v>5</v>
      </c>
      <c r="B25" s="26">
        <v>150</v>
      </c>
      <c r="C25" s="18">
        <v>106.847455</v>
      </c>
      <c r="D25" t="s">
        <v>48</v>
      </c>
    </row>
    <row r="26" spans="1:4" x14ac:dyDescent="0.35">
      <c r="A26" t="s">
        <v>30</v>
      </c>
      <c r="B26" s="27">
        <v>1</v>
      </c>
      <c r="C26" s="17">
        <f t="shared" ref="C26:C29" si="0">B26</f>
        <v>1</v>
      </c>
    </row>
    <row r="27" spans="1:4" x14ac:dyDescent="0.35">
      <c r="A27" t="s">
        <v>42</v>
      </c>
      <c r="B27" s="28">
        <v>0</v>
      </c>
      <c r="C27" s="31">
        <f t="shared" si="0"/>
        <v>0</v>
      </c>
    </row>
    <row r="28" spans="1:4" x14ac:dyDescent="0.35">
      <c r="A28" t="s">
        <v>43</v>
      </c>
      <c r="B28" s="28">
        <v>0.03</v>
      </c>
      <c r="C28" s="31">
        <f t="shared" si="0"/>
        <v>0.03</v>
      </c>
    </row>
    <row r="29" spans="1:4" x14ac:dyDescent="0.35">
      <c r="A29" t="s">
        <v>33</v>
      </c>
      <c r="B29" s="3">
        <v>0.1</v>
      </c>
      <c r="C29" s="32">
        <f t="shared" si="0"/>
        <v>0.1</v>
      </c>
    </row>
    <row r="30" spans="1:4" x14ac:dyDescent="0.35">
      <c r="A30" t="s">
        <v>34</v>
      </c>
      <c r="B30" s="24">
        <f xml:space="preserve"> 1 / (B29 * SQRT(B26)) * (LN(B24/B25) + (B27 - B28 + B29^2/2)*B26)</f>
        <v>-1.6810084364067328</v>
      </c>
      <c r="C30" s="24">
        <f xml:space="preserve"> 1 / (C29 * SQRT(C26)) * (LN(C24/C25) + (C27 - C28 + C29^2/2)*C26)</f>
        <v>1.711322874111507</v>
      </c>
    </row>
    <row r="31" spans="1:4" x14ac:dyDescent="0.35">
      <c r="A31" t="s">
        <v>35</v>
      </c>
      <c r="B31" s="24">
        <f xml:space="preserve"> 1 / (B29 * SQRT(B26)) * (LN(B24/B25) + (B27 - B28 - B29^2/2)*B26)</f>
        <v>-1.7810084364067329</v>
      </c>
      <c r="C31" s="24">
        <f xml:space="preserve"> 1 / (C29 * SQRT(C26)) * (LN(C24/C25) + (C27 - C28 - C29^2/2)*C26)</f>
        <v>1.6113228741115069</v>
      </c>
    </row>
    <row r="32" spans="1:4" x14ac:dyDescent="0.35">
      <c r="A32" t="s">
        <v>46</v>
      </c>
      <c r="B32" s="17">
        <f>B24 * EXP(-B28*B26) *_xlfn.NORM.DIST(B30, 0, 1, 1) - B25 * EXP(-B27*B26) *_xlfn.NORM.DIST(B31, 0, 1, 1)</f>
        <v>0.23295434222811373</v>
      </c>
      <c r="C32" s="17">
        <f>C24 * EXP(-C28*C26) *_xlfn.NORM.DIST(C30, 0, 1, 1) - C25 * EXP(-C27*C26) *_xlfn.NORM.DIST(C31, 0, 1, 1)</f>
        <v>19.543418702487571</v>
      </c>
    </row>
    <row r="33" spans="1:4" x14ac:dyDescent="0.35">
      <c r="A33" t="s">
        <v>47</v>
      </c>
      <c r="B33" s="17">
        <f>B25 * EXP(-B27*B26) *_xlfn.NORM.DIST(-B31, 0, 1, 1) - B24 * EXP(-B28*B26) *_xlfn.NORM.DIST(-B30, 0, 1, 1)</f>
        <v>24.075034980922069</v>
      </c>
      <c r="C33" s="17">
        <f>C25 * EXP(-C27*C26) *_xlfn.NORM.DIST(-C31, 0, 1, 1) - C24 * EXP(-C28*C26) *_xlfn.NORM.DIST(-C30, 0, 1, 1)</f>
        <v>0.23295434118151714</v>
      </c>
    </row>
    <row r="34" spans="1:4" x14ac:dyDescent="0.35">
      <c r="B34" s="17"/>
    </row>
    <row r="35" spans="1:4" x14ac:dyDescent="0.35">
      <c r="A35" t="s">
        <v>55</v>
      </c>
      <c r="B35" s="17"/>
      <c r="C35" s="38">
        <f>B32*B23</f>
        <v>2329543.4222811372</v>
      </c>
      <c r="D35" t="s">
        <v>49</v>
      </c>
    </row>
    <row r="36" spans="1:4" x14ac:dyDescent="0.35">
      <c r="A36" t="s">
        <v>50</v>
      </c>
      <c r="C36" s="18">
        <f>C25</f>
        <v>106.847455</v>
      </c>
    </row>
    <row r="37" spans="1:4" x14ac:dyDescent="0.35">
      <c r="A37" t="s">
        <v>51</v>
      </c>
      <c r="C37" s="21">
        <f>C33*B23</f>
        <v>2329543.4118151716</v>
      </c>
      <c r="D3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DA1C-12B6-4C19-A5DF-092ED764EE30}">
  <dimension ref="A1:K46"/>
  <sheetViews>
    <sheetView workbookViewId="0">
      <selection activeCell="A10" sqref="A10:XFD10"/>
    </sheetView>
  </sheetViews>
  <sheetFormatPr defaultRowHeight="14.5" x14ac:dyDescent="0.35"/>
  <sheetData>
    <row r="1" spans="1:2" x14ac:dyDescent="0.35">
      <c r="A1" s="1" t="s">
        <v>134</v>
      </c>
    </row>
    <row r="3" spans="1:2" x14ac:dyDescent="0.35">
      <c r="A3" t="s">
        <v>138</v>
      </c>
    </row>
    <row r="4" spans="1:2" x14ac:dyDescent="0.35">
      <c r="A4" t="s">
        <v>139</v>
      </c>
    </row>
    <row r="5" spans="1:2" x14ac:dyDescent="0.35">
      <c r="A5" t="s">
        <v>140</v>
      </c>
    </row>
    <row r="6" spans="1:2" x14ac:dyDescent="0.35">
      <c r="A6" t="s">
        <v>141</v>
      </c>
    </row>
    <row r="7" spans="1:2" x14ac:dyDescent="0.35">
      <c r="A7" t="s">
        <v>142</v>
      </c>
    </row>
    <row r="8" spans="1:2" x14ac:dyDescent="0.35">
      <c r="A8" t="s">
        <v>143</v>
      </c>
    </row>
    <row r="9" spans="1:2" x14ac:dyDescent="0.35">
      <c r="A9" t="s">
        <v>135</v>
      </c>
    </row>
    <row r="10" spans="1:2" x14ac:dyDescent="0.35">
      <c r="A10" t="s">
        <v>136</v>
      </c>
    </row>
    <row r="11" spans="1:2" x14ac:dyDescent="0.35">
      <c r="A11" t="s">
        <v>137</v>
      </c>
    </row>
    <row r="13" spans="1:2" x14ac:dyDescent="0.35">
      <c r="A13" t="s">
        <v>27</v>
      </c>
      <c r="B13" s="2">
        <v>500</v>
      </c>
    </row>
    <row r="14" spans="1:2" x14ac:dyDescent="0.35">
      <c r="A14" t="s">
        <v>2</v>
      </c>
      <c r="B14" s="2">
        <v>1.2</v>
      </c>
    </row>
    <row r="15" spans="1:2" x14ac:dyDescent="0.35">
      <c r="A15" t="s">
        <v>4</v>
      </c>
      <c r="B15" s="2">
        <v>0.8</v>
      </c>
    </row>
    <row r="16" spans="1:2" x14ac:dyDescent="0.35">
      <c r="A16" t="s">
        <v>31</v>
      </c>
      <c r="B16" s="28">
        <v>0.03</v>
      </c>
    </row>
    <row r="17" spans="1:11" x14ac:dyDescent="0.35">
      <c r="A17" t="s">
        <v>52</v>
      </c>
      <c r="B17" s="26">
        <f>1/4</f>
        <v>0.25</v>
      </c>
    </row>
    <row r="18" spans="1:11" x14ac:dyDescent="0.35">
      <c r="A18" t="s">
        <v>29</v>
      </c>
      <c r="B18" s="2">
        <v>500</v>
      </c>
    </row>
    <row r="20" spans="1:11" x14ac:dyDescent="0.35">
      <c r="A20" t="s">
        <v>32</v>
      </c>
      <c r="B20" s="31">
        <f>(1 + B16*B17 - B15) / (B14-B15)</f>
        <v>0.51875000000000016</v>
      </c>
    </row>
    <row r="21" spans="1:11" x14ac:dyDescent="0.35">
      <c r="A21" t="s">
        <v>144</v>
      </c>
    </row>
    <row r="22" spans="1:11" x14ac:dyDescent="0.35">
      <c r="A22" t="s">
        <v>145</v>
      </c>
    </row>
    <row r="23" spans="1:11" ht="15" thickBot="1" x14ac:dyDescent="0.4"/>
    <row r="24" spans="1:11" x14ac:dyDescent="0.35">
      <c r="J24" s="7" t="s">
        <v>27</v>
      </c>
      <c r="K24" s="15">
        <f>H27 * $B$14</f>
        <v>864</v>
      </c>
    </row>
    <row r="25" spans="1:11" x14ac:dyDescent="0.35">
      <c r="J25" s="12" t="s">
        <v>53</v>
      </c>
      <c r="K25" s="33">
        <f>MAX($B$18 - K24, 0)</f>
        <v>0</v>
      </c>
    </row>
    <row r="26" spans="1:11" ht="15" thickBot="1" x14ac:dyDescent="0.4">
      <c r="J26" s="12" t="s">
        <v>54</v>
      </c>
      <c r="K26" s="33">
        <v>0</v>
      </c>
    </row>
    <row r="27" spans="1:11" x14ac:dyDescent="0.35">
      <c r="G27" s="7" t="s">
        <v>27</v>
      </c>
      <c r="H27" s="15">
        <f>E30 * $B$14</f>
        <v>720</v>
      </c>
      <c r="J27" s="12" t="s">
        <v>10</v>
      </c>
      <c r="K27" s="33">
        <f>MAX(K25:K26)</f>
        <v>0</v>
      </c>
    </row>
    <row r="28" spans="1:11" ht="15" thickBot="1" x14ac:dyDescent="0.4">
      <c r="G28" s="12" t="s">
        <v>53</v>
      </c>
      <c r="H28" s="33">
        <f>MAX($B$18 - H27, 0)</f>
        <v>0</v>
      </c>
      <c r="J28" s="10" t="s">
        <v>11</v>
      </c>
      <c r="K28" s="34">
        <f>(K27 &gt; 0) * -1</f>
        <v>0</v>
      </c>
    </row>
    <row r="29" spans="1:11" ht="15" thickBot="1" x14ac:dyDescent="0.4">
      <c r="G29" s="12" t="s">
        <v>54</v>
      </c>
      <c r="H29" s="33">
        <f>($B$20 * K27 + (1 - $B$20)*K33) / (1 + $B$16*$B$17)</f>
        <v>0</v>
      </c>
    </row>
    <row r="30" spans="1:11" x14ac:dyDescent="0.35">
      <c r="D30" s="7" t="s">
        <v>27</v>
      </c>
      <c r="E30" s="15">
        <f>B33 * $B$14</f>
        <v>600</v>
      </c>
      <c r="G30" s="12" t="s">
        <v>10</v>
      </c>
      <c r="H30" s="33">
        <f>MAX(H28:H29)</f>
        <v>0</v>
      </c>
      <c r="J30" s="7" t="s">
        <v>27</v>
      </c>
      <c r="K30" s="15">
        <f>H33 * $B$14</f>
        <v>576</v>
      </c>
    </row>
    <row r="31" spans="1:11" ht="15" thickBot="1" x14ac:dyDescent="0.4">
      <c r="D31" s="12" t="s">
        <v>53</v>
      </c>
      <c r="E31" s="33">
        <f>MAX($B$18 - E30, 0)</f>
        <v>0</v>
      </c>
      <c r="G31" s="10" t="s">
        <v>11</v>
      </c>
      <c r="H31" s="34">
        <f xml:space="preserve"> (K27 - K33) / (K24 - K30)</f>
        <v>0</v>
      </c>
      <c r="J31" s="12" t="s">
        <v>53</v>
      </c>
      <c r="K31" s="33">
        <f>MAX($B$18 - K30, 0)</f>
        <v>0</v>
      </c>
    </row>
    <row r="32" spans="1:11" ht="15" thickBot="1" x14ac:dyDescent="0.4">
      <c r="D32" s="12" t="s">
        <v>54</v>
      </c>
      <c r="E32" s="33">
        <f>($B$20 * H30 + (1 - $B$20)*H36) / (1 + $B$16*$B$17)</f>
        <v>26.467283217063073</v>
      </c>
      <c r="J32" s="12" t="s">
        <v>54</v>
      </c>
      <c r="K32" s="33">
        <v>0</v>
      </c>
    </row>
    <row r="33" spans="1:11" x14ac:dyDescent="0.35">
      <c r="A33" s="7" t="s">
        <v>27</v>
      </c>
      <c r="B33" s="15">
        <f>B13</f>
        <v>500</v>
      </c>
      <c r="D33" s="12" t="s">
        <v>10</v>
      </c>
      <c r="E33" s="33">
        <f>MAX(E31:E32)</f>
        <v>26.467283217063073</v>
      </c>
      <c r="G33" s="7" t="s">
        <v>27</v>
      </c>
      <c r="H33" s="15">
        <f>E36 * $B$14</f>
        <v>480</v>
      </c>
      <c r="J33" s="12" t="s">
        <v>10</v>
      </c>
      <c r="K33" s="33">
        <f>MAX(K31:K32)</f>
        <v>0</v>
      </c>
    </row>
    <row r="34" spans="1:11" ht="15" thickBot="1" x14ac:dyDescent="0.4">
      <c r="A34" s="12" t="s">
        <v>53</v>
      </c>
      <c r="B34" s="33">
        <f>MAX($B$18 - B33, 0)</f>
        <v>0</v>
      </c>
      <c r="D34" s="10" t="s">
        <v>11</v>
      </c>
      <c r="E34" s="34">
        <f xml:space="preserve"> (H30 - H36) / (H27 - H33)</f>
        <v>-0.23087262200165418</v>
      </c>
      <c r="G34" s="12" t="s">
        <v>53</v>
      </c>
      <c r="H34" s="33">
        <f>MAX($B$18 - H33, 0)</f>
        <v>20</v>
      </c>
      <c r="J34" s="10" t="s">
        <v>11</v>
      </c>
      <c r="K34" s="34">
        <f>(K33 &gt; 0) * -1</f>
        <v>0</v>
      </c>
    </row>
    <row r="35" spans="1:11" ht="15" thickBot="1" x14ac:dyDescent="0.4">
      <c r="A35" s="12" t="s">
        <v>54</v>
      </c>
      <c r="B35" s="33">
        <f>($B$20 * E33 + (1 - $B$20)*E39) / (1 + $B$16*$B$17)</f>
        <v>68.325313139282372</v>
      </c>
      <c r="G35" s="12" t="s">
        <v>54</v>
      </c>
      <c r="H35" s="33">
        <f>($B$20 * K33 + (1 - $B$20)*K39) / (1 + $B$16*$B$17)</f>
        <v>55.409429280396999</v>
      </c>
    </row>
    <row r="36" spans="1:11" x14ac:dyDescent="0.35">
      <c r="A36" s="12" t="s">
        <v>10</v>
      </c>
      <c r="B36" s="35">
        <f>MAX(B34:B35)</f>
        <v>68.325313139282372</v>
      </c>
      <c r="D36" s="7" t="s">
        <v>27</v>
      </c>
      <c r="E36" s="15">
        <f>B33 * $B$15</f>
        <v>400</v>
      </c>
      <c r="G36" s="12" t="s">
        <v>10</v>
      </c>
      <c r="H36" s="33">
        <f>MAX(H34:H35)</f>
        <v>55.409429280396999</v>
      </c>
      <c r="J36" s="7" t="s">
        <v>27</v>
      </c>
      <c r="K36" s="15">
        <f>H39 * $B$14</f>
        <v>384</v>
      </c>
    </row>
    <row r="37" spans="1:11" ht="15" thickBot="1" x14ac:dyDescent="0.4">
      <c r="A37" s="10" t="s">
        <v>11</v>
      </c>
      <c r="B37" s="34">
        <f xml:space="preserve"> (E33 - E39) / (E30 - E36)</f>
        <v>-0.44021267294300187</v>
      </c>
      <c r="D37" s="12" t="s">
        <v>53</v>
      </c>
      <c r="E37" s="33">
        <f>MAX($B$18 - E36, 0)</f>
        <v>100</v>
      </c>
      <c r="G37" s="10" t="s">
        <v>11</v>
      </c>
      <c r="H37" s="34">
        <f xml:space="preserve"> (K33 - K39) / (K30 - K36)</f>
        <v>-0.60416666666666663</v>
      </c>
      <c r="J37" s="12" t="s">
        <v>53</v>
      </c>
      <c r="K37" s="33">
        <f>MAX($B$18 - K36, 0)</f>
        <v>116</v>
      </c>
    </row>
    <row r="38" spans="1:11" ht="15" thickBot="1" x14ac:dyDescent="0.4">
      <c r="D38" s="12" t="s">
        <v>54</v>
      </c>
      <c r="E38" s="33">
        <f>($B$20 * H36 + (1 - $B$20)*H42) / (1 + $B$16*$B$17)</f>
        <v>114.50981780566345</v>
      </c>
      <c r="J38" s="12" t="s">
        <v>54</v>
      </c>
      <c r="K38" s="33">
        <v>0</v>
      </c>
    </row>
    <row r="39" spans="1:11" x14ac:dyDescent="0.35">
      <c r="D39" s="12" t="s">
        <v>10</v>
      </c>
      <c r="E39" s="33">
        <f>MAX(E37:E38)</f>
        <v>114.50981780566345</v>
      </c>
      <c r="G39" s="7" t="s">
        <v>27</v>
      </c>
      <c r="H39" s="36">
        <f>E36 * $B$15</f>
        <v>320</v>
      </c>
      <c r="J39" s="12" t="s">
        <v>10</v>
      </c>
      <c r="K39" s="33">
        <f>MAX(K37:K38)</f>
        <v>116</v>
      </c>
    </row>
    <row r="40" spans="1:11" ht="15" thickBot="1" x14ac:dyDescent="0.4">
      <c r="D40" s="10" t="s">
        <v>11</v>
      </c>
      <c r="E40" s="34">
        <f xml:space="preserve"> (H36 - H42) / (H33 - H39)</f>
        <v>-0.77869106699751867</v>
      </c>
      <c r="G40" s="12" t="s">
        <v>53</v>
      </c>
      <c r="H40" s="37">
        <f>MAX($B$18 - H39, 0)</f>
        <v>180</v>
      </c>
      <c r="J40" s="10" t="s">
        <v>11</v>
      </c>
      <c r="K40" s="34">
        <f>(K39 &gt; 0) * -1</f>
        <v>-1</v>
      </c>
    </row>
    <row r="41" spans="1:11" ht="15" thickBot="1" x14ac:dyDescent="0.4">
      <c r="G41" s="12" t="s">
        <v>54</v>
      </c>
      <c r="H41" s="37">
        <f>($B$20 * K39 + (1 - $B$20)*K45) / (1 + $B$16*$B$17)</f>
        <v>176.27791563275431</v>
      </c>
    </row>
    <row r="42" spans="1:11" x14ac:dyDescent="0.35">
      <c r="G42" s="12" t="s">
        <v>10</v>
      </c>
      <c r="H42" s="37">
        <f>MAX(H40:H41)</f>
        <v>180</v>
      </c>
      <c r="J42" s="7" t="s">
        <v>27</v>
      </c>
      <c r="K42" s="15">
        <f>H39 * $B$15</f>
        <v>256</v>
      </c>
    </row>
    <row r="43" spans="1:11" ht="15" thickBot="1" x14ac:dyDescent="0.4">
      <c r="G43" s="10" t="s">
        <v>11</v>
      </c>
      <c r="H43" s="34">
        <f xml:space="preserve"> (K39 - K45) / (K36 - K42)</f>
        <v>-1</v>
      </c>
      <c r="J43" s="12" t="s">
        <v>53</v>
      </c>
      <c r="K43" s="33">
        <f>MAX($B$18 - K42, 0)</f>
        <v>244</v>
      </c>
    </row>
    <row r="44" spans="1:11" x14ac:dyDescent="0.35">
      <c r="J44" s="12" t="s">
        <v>54</v>
      </c>
      <c r="K44" s="33">
        <v>0</v>
      </c>
    </row>
    <row r="45" spans="1:11" x14ac:dyDescent="0.35">
      <c r="J45" s="12" t="s">
        <v>10</v>
      </c>
      <c r="K45" s="33">
        <f>MAX(K43:K44)</f>
        <v>244</v>
      </c>
    </row>
    <row r="46" spans="1:11" ht="15" thickBot="1" x14ac:dyDescent="0.4">
      <c r="J46" s="10" t="s">
        <v>11</v>
      </c>
      <c r="K46" s="34">
        <f>(K45 &gt; 0) * -1</f>
        <v>-1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97DA-9577-4E39-A1C1-7B140EF17AB4}">
  <dimension ref="A1:I65"/>
  <sheetViews>
    <sheetView workbookViewId="0">
      <selection activeCell="A19" sqref="A19"/>
    </sheetView>
  </sheetViews>
  <sheetFormatPr defaultRowHeight="14.5" x14ac:dyDescent="0.35"/>
  <sheetData>
    <row r="1" spans="1:3" x14ac:dyDescent="0.35">
      <c r="A1" s="1" t="s">
        <v>149</v>
      </c>
    </row>
    <row r="2" spans="1:3" x14ac:dyDescent="0.35">
      <c r="A2" s="1"/>
    </row>
    <row r="3" spans="1:3" x14ac:dyDescent="0.35">
      <c r="A3" t="s">
        <v>146</v>
      </c>
    </row>
    <row r="4" spans="1:3" x14ac:dyDescent="0.35">
      <c r="A4" t="s">
        <v>147</v>
      </c>
    </row>
    <row r="5" spans="1:3" x14ac:dyDescent="0.35">
      <c r="A5" t="s">
        <v>148</v>
      </c>
    </row>
    <row r="6" spans="1:3" x14ac:dyDescent="0.35">
      <c r="A6" t="s">
        <v>150</v>
      </c>
    </row>
    <row r="7" spans="1:3" x14ac:dyDescent="0.35">
      <c r="A7" t="s">
        <v>151</v>
      </c>
    </row>
    <row r="9" spans="1:3" x14ac:dyDescent="0.35">
      <c r="C9" t="s">
        <v>57</v>
      </c>
    </row>
    <row r="10" spans="1:3" x14ac:dyDescent="0.35">
      <c r="B10" t="s">
        <v>56</v>
      </c>
    </row>
    <row r="11" spans="1:3" x14ac:dyDescent="0.35">
      <c r="C11" t="s">
        <v>59</v>
      </c>
    </row>
    <row r="13" spans="1:3" x14ac:dyDescent="0.35">
      <c r="A13" t="s">
        <v>152</v>
      </c>
    </row>
    <row r="14" spans="1:3" x14ac:dyDescent="0.35">
      <c r="A14" t="s">
        <v>153</v>
      </c>
    </row>
    <row r="15" spans="1:3" x14ac:dyDescent="0.35">
      <c r="A15" t="s">
        <v>154</v>
      </c>
    </row>
    <row r="16" spans="1:3" x14ac:dyDescent="0.35">
      <c r="A16" t="s">
        <v>155</v>
      </c>
    </row>
    <row r="17" spans="1:9" x14ac:dyDescent="0.35">
      <c r="A17" t="s">
        <v>156</v>
      </c>
    </row>
    <row r="18" spans="1:9" x14ac:dyDescent="0.35">
      <c r="A18" t="s">
        <v>158</v>
      </c>
    </row>
    <row r="19" spans="1:9" x14ac:dyDescent="0.35">
      <c r="A19" t="s">
        <v>157</v>
      </c>
    </row>
    <row r="21" spans="1:9" x14ac:dyDescent="0.35">
      <c r="A21" t="s">
        <v>27</v>
      </c>
      <c r="B21" s="26">
        <v>100</v>
      </c>
    </row>
    <row r="22" spans="1:9" x14ac:dyDescent="0.35">
      <c r="A22" t="s">
        <v>29</v>
      </c>
      <c r="B22" s="26">
        <v>100</v>
      </c>
    </row>
    <row r="23" spans="1:9" x14ac:dyDescent="0.35">
      <c r="A23" t="s">
        <v>58</v>
      </c>
      <c r="B23" s="26">
        <v>90</v>
      </c>
    </row>
    <row r="24" spans="1:9" x14ac:dyDescent="0.35">
      <c r="A24" t="s">
        <v>30</v>
      </c>
      <c r="B24" s="27">
        <v>0.5</v>
      </c>
    </row>
    <row r="25" spans="1:9" x14ac:dyDescent="0.35">
      <c r="A25" t="s">
        <v>31</v>
      </c>
      <c r="B25" s="28">
        <v>0.02</v>
      </c>
    </row>
    <row r="26" spans="1:9" x14ac:dyDescent="0.35">
      <c r="A26" t="s">
        <v>32</v>
      </c>
      <c r="B26" s="28">
        <v>0</v>
      </c>
    </row>
    <row r="27" spans="1:9" x14ac:dyDescent="0.35">
      <c r="A27" t="s">
        <v>33</v>
      </c>
      <c r="B27" s="3">
        <v>0.2</v>
      </c>
      <c r="F27" t="s">
        <v>71</v>
      </c>
      <c r="G27">
        <v>-0.15</v>
      </c>
    </row>
    <row r="28" spans="1:9" x14ac:dyDescent="0.35">
      <c r="B28" s="24"/>
    </row>
    <row r="29" spans="1:9" x14ac:dyDescent="0.35">
      <c r="B29" t="s">
        <v>60</v>
      </c>
      <c r="C29" t="s">
        <v>66</v>
      </c>
      <c r="F29" t="s">
        <v>70</v>
      </c>
      <c r="G29" t="str">
        <f>"Vanilla put-" &amp; B23</f>
        <v>Vanilla put-90</v>
      </c>
      <c r="H29" t="str">
        <f>C45 &amp; "x digital put-" &amp; B23</f>
        <v>10x digital put-90</v>
      </c>
      <c r="I29" t="s">
        <v>72</v>
      </c>
    </row>
    <row r="30" spans="1:9" x14ac:dyDescent="0.35">
      <c r="A30" t="s">
        <v>27</v>
      </c>
      <c r="B30" s="17">
        <f>B21</f>
        <v>100</v>
      </c>
      <c r="C30" s="17">
        <f>B30</f>
        <v>100</v>
      </c>
      <c r="F30">
        <v>70.010000000000005</v>
      </c>
      <c r="G30" s="17">
        <f>MAX(0, $B$23-F30) + $G$27</f>
        <v>19.839999999999996</v>
      </c>
      <c r="H30">
        <f>$C$45*(F30 &lt; $B$23)-$G$27</f>
        <v>10.15</v>
      </c>
      <c r="I30" s="17">
        <f>G30+H30</f>
        <v>29.989999999999995</v>
      </c>
    </row>
    <row r="31" spans="1:9" x14ac:dyDescent="0.35">
      <c r="A31" t="s">
        <v>29</v>
      </c>
      <c r="B31" s="17">
        <f>B23</f>
        <v>90</v>
      </c>
      <c r="C31" s="17">
        <f>B22</f>
        <v>100</v>
      </c>
      <c r="F31">
        <f>F30+1</f>
        <v>71.010000000000005</v>
      </c>
      <c r="G31" s="17">
        <f t="shared" ref="G31:G65" si="0">MAX(0, $B$23-F31) + $G$27</f>
        <v>18.839999999999996</v>
      </c>
      <c r="H31">
        <f t="shared" ref="H31:H65" si="1">$C$45*(F31 &lt; $B$23)-$G$27</f>
        <v>10.15</v>
      </c>
      <c r="I31" s="17">
        <f t="shared" ref="I31:I65" si="2">G31+H31</f>
        <v>28.989999999999995</v>
      </c>
    </row>
    <row r="32" spans="1:9" x14ac:dyDescent="0.35">
      <c r="A32" t="s">
        <v>30</v>
      </c>
      <c r="B32" s="16">
        <f>B24</f>
        <v>0.5</v>
      </c>
      <c r="C32" s="17">
        <f t="shared" ref="C32:C35" si="3">B32</f>
        <v>0.5</v>
      </c>
      <c r="F32">
        <f t="shared" ref="F32:F65" si="4">F31+1</f>
        <v>72.010000000000005</v>
      </c>
      <c r="G32" s="17">
        <f t="shared" si="0"/>
        <v>17.839999999999996</v>
      </c>
      <c r="H32">
        <f t="shared" si="1"/>
        <v>10.15</v>
      </c>
      <c r="I32" s="17">
        <f t="shared" si="2"/>
        <v>27.989999999999995</v>
      </c>
    </row>
    <row r="33" spans="1:9" x14ac:dyDescent="0.35">
      <c r="A33" t="s">
        <v>31</v>
      </c>
      <c r="B33" s="31">
        <f>B25</f>
        <v>0.02</v>
      </c>
      <c r="C33" s="17">
        <f t="shared" si="3"/>
        <v>0.02</v>
      </c>
      <c r="F33">
        <f t="shared" si="4"/>
        <v>73.010000000000005</v>
      </c>
      <c r="G33" s="17">
        <f t="shared" si="0"/>
        <v>16.839999999999996</v>
      </c>
      <c r="H33">
        <f t="shared" si="1"/>
        <v>10.15</v>
      </c>
      <c r="I33" s="17">
        <f t="shared" si="2"/>
        <v>26.989999999999995</v>
      </c>
    </row>
    <row r="34" spans="1:9" x14ac:dyDescent="0.35">
      <c r="A34" t="s">
        <v>32</v>
      </c>
      <c r="B34" s="31">
        <f>B26</f>
        <v>0</v>
      </c>
      <c r="C34" s="17">
        <f t="shared" si="3"/>
        <v>0</v>
      </c>
      <c r="F34">
        <f t="shared" si="4"/>
        <v>74.010000000000005</v>
      </c>
      <c r="G34" s="17">
        <f t="shared" si="0"/>
        <v>15.839999999999995</v>
      </c>
      <c r="H34">
        <f t="shared" si="1"/>
        <v>10.15</v>
      </c>
      <c r="I34" s="17">
        <f t="shared" si="2"/>
        <v>25.989999999999995</v>
      </c>
    </row>
    <row r="35" spans="1:9" x14ac:dyDescent="0.35">
      <c r="A35" t="s">
        <v>33</v>
      </c>
      <c r="B35" s="32">
        <f>B27</f>
        <v>0.2</v>
      </c>
      <c r="C35" s="17">
        <f t="shared" si="3"/>
        <v>0.2</v>
      </c>
      <c r="F35">
        <f t="shared" si="4"/>
        <v>75.010000000000005</v>
      </c>
      <c r="G35" s="17">
        <f t="shared" si="0"/>
        <v>14.839999999999995</v>
      </c>
      <c r="H35">
        <f t="shared" si="1"/>
        <v>10.15</v>
      </c>
      <c r="I35" s="17">
        <f t="shared" si="2"/>
        <v>24.989999999999995</v>
      </c>
    </row>
    <row r="36" spans="1:9" x14ac:dyDescent="0.35">
      <c r="A36" t="s">
        <v>34</v>
      </c>
      <c r="B36" s="24">
        <f xml:space="preserve"> 1 / (B35 * SQRT(B32)) * (LN(B30/B31) + (B33 - B34 + B35^2/2)*B32)</f>
        <v>0.88643270714691369</v>
      </c>
      <c r="C36" s="24">
        <f xml:space="preserve"> 1 / (C35 * SQRT(C32)) * (LN(C30/C31) + (C33 - C34 + C35^2/2)*C32)</f>
        <v>0.1414213562373095</v>
      </c>
      <c r="F36">
        <f t="shared" si="4"/>
        <v>76.010000000000005</v>
      </c>
      <c r="G36" s="17">
        <f t="shared" si="0"/>
        <v>13.839999999999995</v>
      </c>
      <c r="H36">
        <f t="shared" si="1"/>
        <v>10.15</v>
      </c>
      <c r="I36" s="17">
        <f t="shared" si="2"/>
        <v>23.989999999999995</v>
      </c>
    </row>
    <row r="37" spans="1:9" x14ac:dyDescent="0.35">
      <c r="A37" t="s">
        <v>35</v>
      </c>
      <c r="B37" s="24">
        <f xml:space="preserve"> 1 / (B35 * SQRT(B32)) * (LN(B30/B31) + (B33 - B34 - B35^2/2)*B32)</f>
        <v>0.74501135090960413</v>
      </c>
      <c r="C37" s="24">
        <f xml:space="preserve"> 1 / (C35 * SQRT(C32)) * (LN(C30/C31) + (C33 - C34 - C35^2/2)*C32)</f>
        <v>-1.226634733346699E-17</v>
      </c>
      <c r="F37">
        <f t="shared" si="4"/>
        <v>77.010000000000005</v>
      </c>
      <c r="G37" s="17">
        <f t="shared" si="0"/>
        <v>12.839999999999995</v>
      </c>
      <c r="H37">
        <f t="shared" si="1"/>
        <v>10.15</v>
      </c>
      <c r="I37" s="17">
        <f t="shared" si="2"/>
        <v>22.989999999999995</v>
      </c>
    </row>
    <row r="38" spans="1:9" x14ac:dyDescent="0.35">
      <c r="A38" t="s">
        <v>36</v>
      </c>
      <c r="B38" s="17">
        <f>B30 * EXP(-B34*B32) *_xlfn.NORM.DIST(B36, 0, 1, 1) - B31 * EXP(-B33*B32) *_xlfn.NORM.DIST(B37, 0, 1, 1)</f>
        <v>12.45391751819416</v>
      </c>
      <c r="C38" s="17">
        <f>C30 * EXP(-C34*C32) *_xlfn.NORM.DIST(C36, 0, 1, 1) - C31 * EXP(-C33*C32) *_xlfn.NORM.DIST(C37, 0, 1, 1)</f>
        <v>6.1206541134558492</v>
      </c>
      <c r="F38">
        <f t="shared" si="4"/>
        <v>78.010000000000005</v>
      </c>
      <c r="G38" s="17">
        <f t="shared" si="0"/>
        <v>11.839999999999995</v>
      </c>
      <c r="H38">
        <f t="shared" si="1"/>
        <v>10.15</v>
      </c>
      <c r="I38" s="17">
        <f t="shared" si="2"/>
        <v>21.989999999999995</v>
      </c>
    </row>
    <row r="39" spans="1:9" x14ac:dyDescent="0.35">
      <c r="A39" t="s">
        <v>37</v>
      </c>
      <c r="B39" s="40">
        <f>B31 * EXP(-B33*B32) *_xlfn.NORM.DIST(-B37, 0, 1, 1) - B30 * EXP(-B34*B32) *_xlfn.NORM.DIST(-B36, 0, 1, 1)</f>
        <v>1.5584025556192884</v>
      </c>
      <c r="C39" s="40">
        <f>C31 * EXP(-C33*C32) *_xlfn.NORM.DIST(-C37, 0, 1, 1) - C30 * EXP(-C34*C32) *_xlfn.NORM.DIST(-C36, 0, 1, 1)</f>
        <v>5.1256374883726465</v>
      </c>
      <c r="F39">
        <f t="shared" si="4"/>
        <v>79.010000000000005</v>
      </c>
      <c r="G39" s="17">
        <f t="shared" si="0"/>
        <v>10.839999999999995</v>
      </c>
      <c r="H39">
        <f t="shared" si="1"/>
        <v>10.15</v>
      </c>
      <c r="I39" s="17">
        <f t="shared" si="2"/>
        <v>20.989999999999995</v>
      </c>
    </row>
    <row r="40" spans="1:9" x14ac:dyDescent="0.35">
      <c r="A40" t="s">
        <v>38</v>
      </c>
      <c r="B40" s="17">
        <f>EXP(-B33*B32) *_xlfn.NORM.DIST(B37, 0, 1, 1)</f>
        <v>0.76418736037129908</v>
      </c>
      <c r="C40" s="17">
        <f>EXP(-C33*C32) *_xlfn.NORM.DIST(C37, 0, 1, 1)</f>
        <v>0.49502491687458405</v>
      </c>
      <c r="F40">
        <f t="shared" si="4"/>
        <v>80.010000000000005</v>
      </c>
      <c r="G40" s="17">
        <f t="shared" si="0"/>
        <v>9.8399999999999945</v>
      </c>
      <c r="H40">
        <f t="shared" si="1"/>
        <v>10.15</v>
      </c>
      <c r="I40" s="17">
        <f t="shared" si="2"/>
        <v>19.989999999999995</v>
      </c>
    </row>
    <row r="41" spans="1:9" x14ac:dyDescent="0.35">
      <c r="A41" t="s">
        <v>39</v>
      </c>
      <c r="B41" s="40">
        <f>EXP(-B33*B32) *_xlfn.NORM.DIST(-B37, 0, 1, 1)</f>
        <v>0.22586247337786899</v>
      </c>
      <c r="C41" s="17">
        <f>EXP(-C33*C32) *_xlfn.NORM.DIST(-C37, 0, 1, 1)</f>
        <v>0.49502491687458405</v>
      </c>
      <c r="F41">
        <f t="shared" si="4"/>
        <v>81.010000000000005</v>
      </c>
      <c r="G41" s="17">
        <f t="shared" si="0"/>
        <v>8.8399999999999945</v>
      </c>
      <c r="H41">
        <f t="shared" si="1"/>
        <v>10.15</v>
      </c>
      <c r="I41" s="17">
        <f t="shared" si="2"/>
        <v>18.989999999999995</v>
      </c>
    </row>
    <row r="42" spans="1:9" x14ac:dyDescent="0.35">
      <c r="F42">
        <f t="shared" si="4"/>
        <v>82.01</v>
      </c>
      <c r="G42" s="17">
        <f t="shared" si="0"/>
        <v>7.8399999999999945</v>
      </c>
      <c r="H42">
        <f t="shared" si="1"/>
        <v>10.15</v>
      </c>
      <c r="I42" s="17">
        <f t="shared" si="2"/>
        <v>17.989999999999995</v>
      </c>
    </row>
    <row r="43" spans="1:9" x14ac:dyDescent="0.35">
      <c r="C43" t="s">
        <v>61</v>
      </c>
      <c r="D43" t="s">
        <v>62</v>
      </c>
      <c r="F43">
        <f t="shared" si="4"/>
        <v>83.01</v>
      </c>
      <c r="G43" s="17">
        <f t="shared" si="0"/>
        <v>6.8399999999999945</v>
      </c>
      <c r="H43">
        <f t="shared" si="1"/>
        <v>10.15</v>
      </c>
      <c r="I43" s="17">
        <f t="shared" si="2"/>
        <v>16.989999999999995</v>
      </c>
    </row>
    <row r="44" spans="1:9" x14ac:dyDescent="0.35">
      <c r="A44" t="s">
        <v>63</v>
      </c>
      <c r="C44">
        <v>1</v>
      </c>
      <c r="D44" s="17">
        <f>C44*B39</f>
        <v>1.5584025556192884</v>
      </c>
      <c r="F44">
        <f t="shared" si="4"/>
        <v>84.01</v>
      </c>
      <c r="G44" s="17">
        <f t="shared" si="0"/>
        <v>5.8399999999999945</v>
      </c>
      <c r="H44">
        <f t="shared" si="1"/>
        <v>10.15</v>
      </c>
      <c r="I44" s="17">
        <f t="shared" si="2"/>
        <v>15.989999999999995</v>
      </c>
    </row>
    <row r="45" spans="1:9" x14ac:dyDescent="0.35">
      <c r="A45" t="s">
        <v>64</v>
      </c>
      <c r="C45" s="19">
        <f>B22-B23</f>
        <v>10</v>
      </c>
      <c r="D45" s="16">
        <f>C45*B41</f>
        <v>2.25862473377869</v>
      </c>
      <c r="F45">
        <f t="shared" si="4"/>
        <v>85.01</v>
      </c>
      <c r="G45" s="17">
        <f t="shared" si="0"/>
        <v>4.8399999999999945</v>
      </c>
      <c r="H45">
        <f t="shared" si="1"/>
        <v>10.15</v>
      </c>
      <c r="I45" s="17">
        <f t="shared" si="2"/>
        <v>14.989999999999995</v>
      </c>
    </row>
    <row r="46" spans="1:9" x14ac:dyDescent="0.35">
      <c r="A46" t="s">
        <v>65</v>
      </c>
      <c r="D46" s="39">
        <f>D45+D44</f>
        <v>3.8170272893979784</v>
      </c>
      <c r="F46">
        <f t="shared" si="4"/>
        <v>86.01</v>
      </c>
      <c r="G46" s="17">
        <f t="shared" si="0"/>
        <v>3.839999999999995</v>
      </c>
      <c r="H46">
        <f t="shared" si="1"/>
        <v>10.15</v>
      </c>
      <c r="I46" s="17">
        <f t="shared" si="2"/>
        <v>13.989999999999995</v>
      </c>
    </row>
    <row r="47" spans="1:9" x14ac:dyDescent="0.35">
      <c r="A47" t="s">
        <v>68</v>
      </c>
      <c r="D47" s="17">
        <f>C39</f>
        <v>5.1256374883726465</v>
      </c>
      <c r="F47">
        <f t="shared" si="4"/>
        <v>87.01</v>
      </c>
      <c r="G47" s="17">
        <f t="shared" si="0"/>
        <v>2.839999999999995</v>
      </c>
      <c r="H47">
        <f t="shared" si="1"/>
        <v>10.15</v>
      </c>
      <c r="I47" s="17">
        <f t="shared" si="2"/>
        <v>12.989999999999995</v>
      </c>
    </row>
    <row r="48" spans="1:9" x14ac:dyDescent="0.35">
      <c r="A48" t="s">
        <v>69</v>
      </c>
      <c r="D48" s="39">
        <f>D46-D47</f>
        <v>-1.3086101989746681</v>
      </c>
      <c r="F48">
        <f t="shared" si="4"/>
        <v>88.01</v>
      </c>
      <c r="G48" s="17">
        <f t="shared" si="0"/>
        <v>1.839999999999995</v>
      </c>
      <c r="H48">
        <f t="shared" si="1"/>
        <v>10.15</v>
      </c>
      <c r="I48" s="17">
        <f t="shared" si="2"/>
        <v>11.989999999999995</v>
      </c>
    </row>
    <row r="49" spans="6:9" x14ac:dyDescent="0.35">
      <c r="F49">
        <v>89.99</v>
      </c>
      <c r="G49" s="17">
        <f t="shared" si="0"/>
        <v>-0.13999999999999488</v>
      </c>
      <c r="H49">
        <f t="shared" si="1"/>
        <v>10.15</v>
      </c>
      <c r="I49" s="17">
        <f t="shared" si="2"/>
        <v>10.010000000000005</v>
      </c>
    </row>
    <row r="50" spans="6:9" x14ac:dyDescent="0.35">
      <c r="F50">
        <v>90.01</v>
      </c>
      <c r="G50" s="17">
        <f t="shared" si="0"/>
        <v>-0.15</v>
      </c>
      <c r="H50">
        <f t="shared" si="1"/>
        <v>0.15</v>
      </c>
      <c r="I50" s="17">
        <f t="shared" si="2"/>
        <v>0</v>
      </c>
    </row>
    <row r="51" spans="6:9" x14ac:dyDescent="0.35">
      <c r="F51">
        <f t="shared" si="4"/>
        <v>91.01</v>
      </c>
      <c r="G51" s="17">
        <f t="shared" si="0"/>
        <v>-0.15</v>
      </c>
      <c r="H51">
        <f t="shared" si="1"/>
        <v>0.15</v>
      </c>
      <c r="I51" s="17">
        <f t="shared" si="2"/>
        <v>0</v>
      </c>
    </row>
    <row r="52" spans="6:9" x14ac:dyDescent="0.35">
      <c r="F52">
        <f t="shared" si="4"/>
        <v>92.01</v>
      </c>
      <c r="G52" s="17">
        <f t="shared" si="0"/>
        <v>-0.15</v>
      </c>
      <c r="H52">
        <f t="shared" si="1"/>
        <v>0.15</v>
      </c>
      <c r="I52" s="17">
        <f t="shared" si="2"/>
        <v>0</v>
      </c>
    </row>
    <row r="53" spans="6:9" x14ac:dyDescent="0.35">
      <c r="F53">
        <f>F52+1</f>
        <v>93.01</v>
      </c>
      <c r="G53" s="17">
        <f t="shared" si="0"/>
        <v>-0.15</v>
      </c>
      <c r="H53">
        <f t="shared" si="1"/>
        <v>0.15</v>
      </c>
      <c r="I53" s="17">
        <f t="shared" si="2"/>
        <v>0</v>
      </c>
    </row>
    <row r="54" spans="6:9" x14ac:dyDescent="0.35">
      <c r="F54">
        <f t="shared" si="4"/>
        <v>94.01</v>
      </c>
      <c r="G54" s="17">
        <f t="shared" si="0"/>
        <v>-0.15</v>
      </c>
      <c r="H54">
        <f t="shared" si="1"/>
        <v>0.15</v>
      </c>
      <c r="I54" s="17">
        <f t="shared" si="2"/>
        <v>0</v>
      </c>
    </row>
    <row r="55" spans="6:9" x14ac:dyDescent="0.35">
      <c r="F55">
        <f t="shared" si="4"/>
        <v>95.01</v>
      </c>
      <c r="G55" s="17">
        <f t="shared" si="0"/>
        <v>-0.15</v>
      </c>
      <c r="H55">
        <f t="shared" si="1"/>
        <v>0.15</v>
      </c>
      <c r="I55" s="17">
        <f t="shared" si="2"/>
        <v>0</v>
      </c>
    </row>
    <row r="56" spans="6:9" x14ac:dyDescent="0.35">
      <c r="F56">
        <f t="shared" si="4"/>
        <v>96.01</v>
      </c>
      <c r="G56" s="17">
        <f t="shared" si="0"/>
        <v>-0.15</v>
      </c>
      <c r="H56">
        <f t="shared" si="1"/>
        <v>0.15</v>
      </c>
      <c r="I56" s="17">
        <f t="shared" si="2"/>
        <v>0</v>
      </c>
    </row>
    <row r="57" spans="6:9" x14ac:dyDescent="0.35">
      <c r="F57">
        <f t="shared" si="4"/>
        <v>97.01</v>
      </c>
      <c r="G57" s="17">
        <f t="shared" si="0"/>
        <v>-0.15</v>
      </c>
      <c r="H57">
        <f t="shared" si="1"/>
        <v>0.15</v>
      </c>
      <c r="I57" s="17">
        <f t="shared" si="2"/>
        <v>0</v>
      </c>
    </row>
    <row r="58" spans="6:9" x14ac:dyDescent="0.35">
      <c r="F58">
        <f t="shared" si="4"/>
        <v>98.01</v>
      </c>
      <c r="G58" s="17">
        <f t="shared" si="0"/>
        <v>-0.15</v>
      </c>
      <c r="H58">
        <f t="shared" si="1"/>
        <v>0.15</v>
      </c>
      <c r="I58" s="17">
        <f t="shared" si="2"/>
        <v>0</v>
      </c>
    </row>
    <row r="59" spans="6:9" x14ac:dyDescent="0.35">
      <c r="F59">
        <f t="shared" si="4"/>
        <v>99.01</v>
      </c>
      <c r="G59" s="17">
        <f t="shared" si="0"/>
        <v>-0.15</v>
      </c>
      <c r="H59">
        <f t="shared" si="1"/>
        <v>0.15</v>
      </c>
      <c r="I59" s="17">
        <f t="shared" si="2"/>
        <v>0</v>
      </c>
    </row>
    <row r="60" spans="6:9" x14ac:dyDescent="0.35">
      <c r="F60">
        <f t="shared" si="4"/>
        <v>100.01</v>
      </c>
      <c r="G60" s="17">
        <f t="shared" si="0"/>
        <v>-0.15</v>
      </c>
      <c r="H60">
        <f t="shared" si="1"/>
        <v>0.15</v>
      </c>
      <c r="I60" s="17">
        <f t="shared" si="2"/>
        <v>0</v>
      </c>
    </row>
    <row r="61" spans="6:9" x14ac:dyDescent="0.35">
      <c r="F61">
        <f t="shared" si="4"/>
        <v>101.01</v>
      </c>
      <c r="G61" s="17">
        <f t="shared" si="0"/>
        <v>-0.15</v>
      </c>
      <c r="H61">
        <f t="shared" si="1"/>
        <v>0.15</v>
      </c>
      <c r="I61" s="17">
        <f t="shared" si="2"/>
        <v>0</v>
      </c>
    </row>
    <row r="62" spans="6:9" x14ac:dyDescent="0.35">
      <c r="F62">
        <f t="shared" si="4"/>
        <v>102.01</v>
      </c>
      <c r="G62" s="17">
        <f t="shared" si="0"/>
        <v>-0.15</v>
      </c>
      <c r="H62">
        <f t="shared" si="1"/>
        <v>0.15</v>
      </c>
      <c r="I62" s="17">
        <f t="shared" si="2"/>
        <v>0</v>
      </c>
    </row>
    <row r="63" spans="6:9" x14ac:dyDescent="0.35">
      <c r="F63">
        <f t="shared" si="4"/>
        <v>103.01</v>
      </c>
      <c r="G63" s="17">
        <f t="shared" si="0"/>
        <v>-0.15</v>
      </c>
      <c r="H63">
        <f t="shared" si="1"/>
        <v>0.15</v>
      </c>
      <c r="I63" s="17">
        <f t="shared" si="2"/>
        <v>0</v>
      </c>
    </row>
    <row r="64" spans="6:9" x14ac:dyDescent="0.35">
      <c r="F64">
        <f t="shared" si="4"/>
        <v>104.01</v>
      </c>
      <c r="G64" s="17">
        <f t="shared" si="0"/>
        <v>-0.15</v>
      </c>
      <c r="H64">
        <f t="shared" si="1"/>
        <v>0.15</v>
      </c>
      <c r="I64" s="17">
        <f t="shared" si="2"/>
        <v>0</v>
      </c>
    </row>
    <row r="65" spans="6:9" x14ac:dyDescent="0.35">
      <c r="F65">
        <f t="shared" si="4"/>
        <v>105.01</v>
      </c>
      <c r="G65" s="17">
        <f t="shared" si="0"/>
        <v>-0.15</v>
      </c>
      <c r="H65">
        <f t="shared" si="1"/>
        <v>0.15</v>
      </c>
      <c r="I65" s="17">
        <f t="shared" si="2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943B-AB00-43FE-B449-E2718451E3CC}">
  <dimension ref="A1:G71"/>
  <sheetViews>
    <sheetView workbookViewId="0"/>
  </sheetViews>
  <sheetFormatPr defaultRowHeight="14.5" x14ac:dyDescent="0.35"/>
  <cols>
    <col min="1" max="1" width="14" customWidth="1"/>
    <col min="2" max="2" width="10" customWidth="1"/>
    <col min="3" max="3" width="10.6328125" bestFit="1" customWidth="1"/>
  </cols>
  <sheetData>
    <row r="1" spans="1:1" x14ac:dyDescent="0.35">
      <c r="A1" s="1" t="s">
        <v>159</v>
      </c>
    </row>
    <row r="3" spans="1:1" x14ac:dyDescent="0.35">
      <c r="A3" t="s">
        <v>160</v>
      </c>
    </row>
    <row r="4" spans="1:1" x14ac:dyDescent="0.35">
      <c r="A4" t="s">
        <v>170</v>
      </c>
    </row>
    <row r="5" spans="1:1" x14ac:dyDescent="0.35">
      <c r="A5" t="s">
        <v>171</v>
      </c>
    </row>
    <row r="6" spans="1:1" x14ac:dyDescent="0.35">
      <c r="A6" t="s">
        <v>161</v>
      </c>
    </row>
    <row r="7" spans="1:1" x14ac:dyDescent="0.35">
      <c r="A7" t="s">
        <v>162</v>
      </c>
    </row>
    <row r="8" spans="1:1" x14ac:dyDescent="0.35">
      <c r="A8" t="s">
        <v>163</v>
      </c>
    </row>
    <row r="9" spans="1:1" x14ac:dyDescent="0.35">
      <c r="A9" t="s">
        <v>164</v>
      </c>
    </row>
    <row r="10" spans="1:1" x14ac:dyDescent="0.35">
      <c r="A10" t="s">
        <v>165</v>
      </c>
    </row>
    <row r="11" spans="1:1" x14ac:dyDescent="0.35">
      <c r="A11" t="s">
        <v>172</v>
      </c>
    </row>
    <row r="12" spans="1:1" x14ac:dyDescent="0.35">
      <c r="A12" t="s">
        <v>166</v>
      </c>
    </row>
    <row r="13" spans="1:1" x14ac:dyDescent="0.35">
      <c r="A13" t="s">
        <v>173</v>
      </c>
    </row>
    <row r="14" spans="1:1" x14ac:dyDescent="0.35">
      <c r="A14" t="s">
        <v>167</v>
      </c>
    </row>
    <row r="15" spans="1:1" x14ac:dyDescent="0.35">
      <c r="A15" t="s">
        <v>168</v>
      </c>
    </row>
    <row r="16" spans="1:1" x14ac:dyDescent="0.35">
      <c r="A16" t="s">
        <v>169</v>
      </c>
    </row>
    <row r="17" spans="1:3" x14ac:dyDescent="0.35">
      <c r="A17" t="s">
        <v>174</v>
      </c>
    </row>
    <row r="18" spans="1:3" x14ac:dyDescent="0.35">
      <c r="A18" t="s">
        <v>175</v>
      </c>
    </row>
    <row r="19" spans="1:3" x14ac:dyDescent="0.35">
      <c r="A19" t="s">
        <v>176</v>
      </c>
    </row>
    <row r="20" spans="1:3" x14ac:dyDescent="0.35">
      <c r="A20" t="s">
        <v>177</v>
      </c>
    </row>
    <row r="22" spans="1:3" x14ac:dyDescent="0.35">
      <c r="A22" t="s">
        <v>45</v>
      </c>
      <c r="B22" s="41">
        <v>100000</v>
      </c>
    </row>
    <row r="23" spans="1:3" x14ac:dyDescent="0.35">
      <c r="A23" t="s">
        <v>27</v>
      </c>
      <c r="B23" s="41">
        <v>4000</v>
      </c>
    </row>
    <row r="24" spans="1:3" x14ac:dyDescent="0.35">
      <c r="A24" t="s">
        <v>29</v>
      </c>
      <c r="B24" s="41">
        <v>4500</v>
      </c>
    </row>
    <row r="25" spans="1:3" x14ac:dyDescent="0.35">
      <c r="A25" t="s">
        <v>73</v>
      </c>
      <c r="B25" s="3">
        <v>0.04</v>
      </c>
    </row>
    <row r="26" spans="1:3" x14ac:dyDescent="0.35">
      <c r="A26" t="s">
        <v>74</v>
      </c>
      <c r="B26" s="3">
        <v>0.02</v>
      </c>
    </row>
    <row r="27" spans="1:3" x14ac:dyDescent="0.35">
      <c r="A27" t="s">
        <v>33</v>
      </c>
      <c r="B27" s="3">
        <v>0.2</v>
      </c>
    </row>
    <row r="28" spans="1:3" x14ac:dyDescent="0.35">
      <c r="A28" t="s">
        <v>30</v>
      </c>
      <c r="B28" s="26">
        <v>1</v>
      </c>
    </row>
    <row r="30" spans="1:3" x14ac:dyDescent="0.35">
      <c r="A30" t="s">
        <v>27</v>
      </c>
      <c r="B30" s="21">
        <f>B23</f>
        <v>4000</v>
      </c>
      <c r="C30" s="21">
        <f>B30</f>
        <v>4000</v>
      </c>
    </row>
    <row r="31" spans="1:3" x14ac:dyDescent="0.35">
      <c r="A31" t="s">
        <v>29</v>
      </c>
      <c r="B31" s="21">
        <f>B23</f>
        <v>4000</v>
      </c>
      <c r="C31" s="21">
        <f>B24</f>
        <v>4500</v>
      </c>
    </row>
    <row r="32" spans="1:3" x14ac:dyDescent="0.35">
      <c r="A32" t="s">
        <v>30</v>
      </c>
      <c r="B32" s="16">
        <f>B28</f>
        <v>1</v>
      </c>
      <c r="C32" s="17">
        <f t="shared" ref="C32:C35" si="0">B32</f>
        <v>1</v>
      </c>
    </row>
    <row r="33" spans="1:5" x14ac:dyDescent="0.35">
      <c r="A33" t="s">
        <v>31</v>
      </c>
      <c r="B33" s="31">
        <f>B25</f>
        <v>0.04</v>
      </c>
      <c r="C33" s="31">
        <f t="shared" si="0"/>
        <v>0.04</v>
      </c>
    </row>
    <row r="34" spans="1:5" x14ac:dyDescent="0.35">
      <c r="A34" t="s">
        <v>32</v>
      </c>
      <c r="B34" s="31">
        <f>B26</f>
        <v>0.02</v>
      </c>
      <c r="C34" s="31">
        <f t="shared" si="0"/>
        <v>0.02</v>
      </c>
    </row>
    <row r="35" spans="1:5" x14ac:dyDescent="0.35">
      <c r="A35" t="s">
        <v>33</v>
      </c>
      <c r="B35" s="32">
        <f>B27</f>
        <v>0.2</v>
      </c>
      <c r="C35" s="32">
        <f t="shared" si="0"/>
        <v>0.2</v>
      </c>
    </row>
    <row r="36" spans="1:5" x14ac:dyDescent="0.35">
      <c r="A36" t="s">
        <v>34</v>
      </c>
      <c r="B36" s="24">
        <f xml:space="preserve"> 1 / (B35 * SQRT(B32)) * (LN(B30/B31) + (B33 - B34 + B35^2/2)*B32)</f>
        <v>0.20000000000000004</v>
      </c>
      <c r="C36" s="24">
        <f xml:space="preserve"> 1 / (C35 * SQRT(C32)) * (LN(C30/C31) + (C33 - C34 + C35^2/2)*C32)</f>
        <v>-0.38891517828191752</v>
      </c>
    </row>
    <row r="37" spans="1:5" x14ac:dyDescent="0.35">
      <c r="A37" t="s">
        <v>35</v>
      </c>
      <c r="B37" s="24">
        <f xml:space="preserve"> 1 / (B35 * SQRT(B32)) * (LN(B30/B31) + (B33 - B34 - B35^2/2)*B32)</f>
        <v>-1.7347234759768071E-17</v>
      </c>
      <c r="C37" s="24">
        <f xml:space="preserve"> 1 / (C35 * SQRT(C32)) * (LN(C30/C31) + (C33 - C34 - C35^2/2)*C32)</f>
        <v>-0.58891517828191753</v>
      </c>
    </row>
    <row r="38" spans="1:5" x14ac:dyDescent="0.35">
      <c r="A38" t="s">
        <v>75</v>
      </c>
      <c r="B38" s="17">
        <f>B30 * EXP(-B34*B32) *_xlfn.NORM.DIST(B36, 0, 1, 1) - B31 * EXP(-B33*B32) *_xlfn.NORM.DIST(B37, 0, 1, 1)</f>
        <v>349.57951646441461</v>
      </c>
      <c r="C38" s="17">
        <f>C30 * EXP(-C34*C32) *_xlfn.NORM.DIST(C36, 0, 1, 1) - C31 * EXP(-C33*C32) *_xlfn.NORM.DIST(C37, 0, 1, 1)</f>
        <v>165.29061531097454</v>
      </c>
    </row>
    <row r="39" spans="1:5" x14ac:dyDescent="0.35">
      <c r="A39" t="s">
        <v>67</v>
      </c>
      <c r="B39" s="40">
        <f>B31 * EXP(-B33*B32) *_xlfn.NORM.DIST(-B37, 0, 1, 1) - B30 * EXP(-B34*B32) *_xlfn.NORM.DIST(-B36, 0, 1, 1)</f>
        <v>271.94257984668684</v>
      </c>
      <c r="C39" s="17">
        <f>C31 * EXP(-C33*C32) *_xlfn.NORM.DIST(-C37, 0, 1, 1) - C30 * EXP(-C34*C32) *_xlfn.NORM.DIST(-C36, 0, 1, 1)</f>
        <v>568.04839826940724</v>
      </c>
    </row>
    <row r="40" spans="1:5" x14ac:dyDescent="0.35">
      <c r="A40" t="s">
        <v>38</v>
      </c>
      <c r="B40" s="17">
        <f>EXP(-B33*B32) *_xlfn.NORM.DIST(B37, 0, 1, 1)</f>
        <v>0.48039471957616159</v>
      </c>
      <c r="C40" s="40">
        <f>EXP(-C33*C32) *_xlfn.NORM.DIST(C37, 0, 1, 1)</f>
        <v>0.26706015592186483</v>
      </c>
    </row>
    <row r="41" spans="1:5" x14ac:dyDescent="0.35">
      <c r="A41" t="s">
        <v>39</v>
      </c>
      <c r="B41" s="17">
        <f>EXP(-B33*B32) *_xlfn.NORM.DIST(-B37, 0, 1, 1)</f>
        <v>0.48039471957616159</v>
      </c>
      <c r="C41" s="17">
        <f>EXP(-C33*C32) *_xlfn.NORM.DIST(-C37, 0, 1, 1)</f>
        <v>0.69372928323045835</v>
      </c>
    </row>
    <row r="43" spans="1:5" x14ac:dyDescent="0.35">
      <c r="A43" t="s">
        <v>88</v>
      </c>
      <c r="C43" t="s">
        <v>12</v>
      </c>
      <c r="D43" t="s">
        <v>76</v>
      </c>
      <c r="E43" t="s">
        <v>81</v>
      </c>
    </row>
    <row r="44" spans="1:5" x14ac:dyDescent="0.35">
      <c r="A44" t="s">
        <v>77</v>
      </c>
      <c r="C44" s="21">
        <f>B22</f>
        <v>100000</v>
      </c>
    </row>
    <row r="45" spans="1:5" x14ac:dyDescent="0.35">
      <c r="A45" t="s">
        <v>78</v>
      </c>
      <c r="C45" s="21">
        <f>-C44*EXP(-B25*B28)</f>
        <v>-96078.943915232318</v>
      </c>
    </row>
    <row r="46" spans="1:5" x14ac:dyDescent="0.35">
      <c r="A46" t="s">
        <v>79</v>
      </c>
      <c r="C46" s="21">
        <f>-D46*B39</f>
        <v>6798.5644961671715</v>
      </c>
      <c r="D46">
        <f>-B22/B23</f>
        <v>-25</v>
      </c>
    </row>
    <row r="47" spans="1:5" x14ac:dyDescent="0.35">
      <c r="A47" t="s">
        <v>80</v>
      </c>
      <c r="C47" s="21">
        <f>-SUM(C44:C46)</f>
        <v>-10719.620580934854</v>
      </c>
      <c r="E47" s="21">
        <f>-C47/C40</f>
        <v>40139.348170197089</v>
      </c>
    </row>
    <row r="48" spans="1:5" x14ac:dyDescent="0.35">
      <c r="A48" t="s">
        <v>23</v>
      </c>
      <c r="C48" s="21">
        <f>SUM(C44:C47)</f>
        <v>0</v>
      </c>
      <c r="D48" s="21">
        <f t="shared" ref="D48:E48" si="1">SUM(D44:D47)</f>
        <v>-25</v>
      </c>
      <c r="E48" s="21">
        <f t="shared" si="1"/>
        <v>40139.348170197089</v>
      </c>
    </row>
    <row r="50" spans="1:7" x14ac:dyDescent="0.35">
      <c r="A50" t="s">
        <v>89</v>
      </c>
      <c r="C50" t="s">
        <v>98</v>
      </c>
      <c r="D50" t="s">
        <v>76</v>
      </c>
      <c r="E50" t="s">
        <v>81</v>
      </c>
      <c r="F50" t="s">
        <v>83</v>
      </c>
    </row>
    <row r="51" spans="1:7" x14ac:dyDescent="0.35">
      <c r="A51" t="s">
        <v>82</v>
      </c>
      <c r="C51" s="21">
        <f>C48</f>
        <v>0</v>
      </c>
      <c r="D51" s="21">
        <f>D48</f>
        <v>-25</v>
      </c>
      <c r="E51" s="21">
        <f>E48</f>
        <v>40139.348170197089</v>
      </c>
      <c r="F51">
        <v>0</v>
      </c>
    </row>
    <row r="52" spans="1:7" x14ac:dyDescent="0.35">
      <c r="A52" t="s">
        <v>84</v>
      </c>
      <c r="C52" s="21">
        <f>-$C$45*EXP($B$25*$B$28)</f>
        <v>100000</v>
      </c>
    </row>
    <row r="53" spans="1:7" x14ac:dyDescent="0.35">
      <c r="A53" t="s">
        <v>85</v>
      </c>
      <c r="E53" s="21">
        <f>-E51</f>
        <v>-40139.348170197089</v>
      </c>
    </row>
    <row r="54" spans="1:7" x14ac:dyDescent="0.35">
      <c r="A54" t="s">
        <v>86</v>
      </c>
      <c r="C54" s="21">
        <f>-F54*B23</f>
        <v>-100000</v>
      </c>
      <c r="D54" s="21">
        <f>-D51</f>
        <v>25</v>
      </c>
      <c r="F54" s="21">
        <f>D54</f>
        <v>25</v>
      </c>
    </row>
    <row r="55" spans="1:7" x14ac:dyDescent="0.35">
      <c r="A55" t="s">
        <v>87</v>
      </c>
      <c r="C55" s="21">
        <f>SUM(C51:C54)</f>
        <v>0</v>
      </c>
      <c r="D55" s="21">
        <f t="shared" ref="D55:F55" si="2">SUM(D51:D54)</f>
        <v>0</v>
      </c>
      <c r="E55" s="21">
        <f t="shared" si="2"/>
        <v>0</v>
      </c>
      <c r="F55" s="38">
        <f t="shared" si="2"/>
        <v>25</v>
      </c>
      <c r="G55" t="s">
        <v>99</v>
      </c>
    </row>
    <row r="57" spans="1:7" x14ac:dyDescent="0.35">
      <c r="A57" t="s">
        <v>91</v>
      </c>
      <c r="C57" t="s">
        <v>98</v>
      </c>
      <c r="D57" t="s">
        <v>76</v>
      </c>
      <c r="E57" t="s">
        <v>81</v>
      </c>
      <c r="F57" t="s">
        <v>83</v>
      </c>
    </row>
    <row r="58" spans="1:7" x14ac:dyDescent="0.35">
      <c r="A58" t="s">
        <v>82</v>
      </c>
      <c r="C58" s="21">
        <f>C48</f>
        <v>0</v>
      </c>
      <c r="D58" s="21">
        <f t="shared" ref="D58:F58" si="3">D48</f>
        <v>-25</v>
      </c>
      <c r="E58" s="21">
        <f t="shared" si="3"/>
        <v>40139.348170197089</v>
      </c>
      <c r="F58" s="21">
        <f t="shared" si="3"/>
        <v>0</v>
      </c>
    </row>
    <row r="59" spans="1:7" x14ac:dyDescent="0.35">
      <c r="A59" t="s">
        <v>84</v>
      </c>
      <c r="C59" s="21">
        <f>-$C$45*EXP($B$25*$B$28)</f>
        <v>100000</v>
      </c>
    </row>
    <row r="60" spans="1:7" x14ac:dyDescent="0.35">
      <c r="A60" t="s">
        <v>85</v>
      </c>
      <c r="E60" s="21">
        <f>-E58</f>
        <v>-40139.348170197089</v>
      </c>
    </row>
    <row r="61" spans="1:7" x14ac:dyDescent="0.35">
      <c r="A61" t="s">
        <v>90</v>
      </c>
      <c r="C61" s="21"/>
      <c r="D61" s="21">
        <f>-D58</f>
        <v>25</v>
      </c>
      <c r="F61" s="21"/>
    </row>
    <row r="62" spans="1:7" x14ac:dyDescent="0.35">
      <c r="A62" t="s">
        <v>93</v>
      </c>
      <c r="C62" s="38">
        <f>SUM(C58:C61)</f>
        <v>100000</v>
      </c>
      <c r="D62" s="21">
        <f t="shared" ref="D62" si="4">SUM(D58:D61)</f>
        <v>0</v>
      </c>
      <c r="E62" s="21">
        <f t="shared" ref="E62" si="5">SUM(E58:E61)</f>
        <v>0</v>
      </c>
      <c r="F62" s="21">
        <f t="shared" ref="F62" si="6">SUM(F58:F61)</f>
        <v>0</v>
      </c>
    </row>
    <row r="64" spans="1:7" x14ac:dyDescent="0.35">
      <c r="A64" t="s">
        <v>92</v>
      </c>
      <c r="C64" t="s">
        <v>98</v>
      </c>
      <c r="D64" t="s">
        <v>76</v>
      </c>
      <c r="E64" t="s">
        <v>81</v>
      </c>
      <c r="F64" t="s">
        <v>83</v>
      </c>
    </row>
    <row r="65" spans="1:6" x14ac:dyDescent="0.35">
      <c r="A65" t="s">
        <v>82</v>
      </c>
      <c r="C65" s="21">
        <f>C48</f>
        <v>0</v>
      </c>
      <c r="D65" s="21">
        <f t="shared" ref="D65:F65" si="7">D48</f>
        <v>-25</v>
      </c>
      <c r="E65" s="21">
        <f t="shared" si="7"/>
        <v>40139.348170197089</v>
      </c>
      <c r="F65" s="21">
        <f t="shared" si="7"/>
        <v>0</v>
      </c>
    </row>
    <row r="66" spans="1:6" x14ac:dyDescent="0.35">
      <c r="A66" t="s">
        <v>84</v>
      </c>
      <c r="C66" s="21">
        <f>-$C$45*EXP($B$25*$B$28)</f>
        <v>100000</v>
      </c>
    </row>
    <row r="67" spans="1:6" x14ac:dyDescent="0.35">
      <c r="A67" t="s">
        <v>94</v>
      </c>
      <c r="C67" s="21">
        <f>-E67</f>
        <v>40139.348170197089</v>
      </c>
      <c r="E67" s="21">
        <f>-E65</f>
        <v>-40139.348170197089</v>
      </c>
    </row>
    <row r="68" spans="1:6" x14ac:dyDescent="0.35">
      <c r="A68" t="s">
        <v>90</v>
      </c>
      <c r="C68" s="21"/>
      <c r="D68" s="21">
        <f>-D65</f>
        <v>25</v>
      </c>
      <c r="F68" s="21"/>
    </row>
    <row r="69" spans="1:6" x14ac:dyDescent="0.35">
      <c r="A69" t="s">
        <v>95</v>
      </c>
      <c r="C69" s="38">
        <f>SUM(C65:C68)</f>
        <v>140139.3481701971</v>
      </c>
      <c r="D69" s="21">
        <f t="shared" ref="D69" si="8">SUM(D65:D68)</f>
        <v>0</v>
      </c>
      <c r="E69" s="21">
        <f t="shared" ref="E69" si="9">SUM(E65:E68)</f>
        <v>0</v>
      </c>
      <c r="F69" s="21">
        <f t="shared" ref="F69" si="10">SUM(F65:F68)</f>
        <v>0</v>
      </c>
    </row>
    <row r="71" spans="1:6" x14ac:dyDescent="0.35">
      <c r="A71" t="s">
        <v>96</v>
      </c>
      <c r="B71" s="38">
        <f>E47</f>
        <v>40139.348170197089</v>
      </c>
      <c r="C7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Problem 2</vt:lpstr>
      <vt:lpstr>Problem 3</vt:lpstr>
      <vt:lpstr>Problem 4</vt:lpstr>
      <vt:lpstr>Problem 5</vt:lpstr>
      <vt:lpstr>Problem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abak</dc:creator>
  <cp:lastModifiedBy>Artem Bakulin</cp:lastModifiedBy>
  <dcterms:created xsi:type="dcterms:W3CDTF">2023-04-11T20:39:22Z</dcterms:created>
  <dcterms:modified xsi:type="dcterms:W3CDTF">2023-11-08T07:29:01Z</dcterms:modified>
</cp:coreProperties>
</file>