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Bak\homework\2024\"/>
    </mc:Choice>
  </mc:AlternateContent>
  <xr:revisionPtr revIDLastSave="0" documentId="13_ncr:1_{2A79C23F-0A0E-488D-8BCA-23CE3EED7FF7}" xr6:coauthVersionLast="47" xr6:coauthVersionMax="47" xr10:uidLastSave="{00000000-0000-0000-0000-000000000000}"/>
  <bookViews>
    <workbookView xWindow="252" yWindow="240" windowWidth="23040" windowHeight="12120" xr2:uid="{69CC8593-2513-4A95-B4F3-A1826E201D16}"/>
  </bookViews>
  <sheets>
    <sheet name="Quiz" sheetId="1" r:id="rId1"/>
    <sheet name="Problem1" sheetId="2" r:id="rId2"/>
    <sheet name="Problem2" sheetId="6" r:id="rId3"/>
    <sheet name="Problem3" sheetId="3" r:id="rId4"/>
    <sheet name="Problem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4" l="1"/>
  <c r="Q38" i="3"/>
  <c r="L38" i="3"/>
  <c r="G38" i="3"/>
  <c r="C36" i="6" l="1"/>
  <c r="C31" i="2"/>
  <c r="F34" i="6"/>
  <c r="G37" i="6"/>
  <c r="G38" i="6"/>
  <c r="G39" i="6"/>
  <c r="G40" i="6"/>
  <c r="G36" i="6"/>
  <c r="B43" i="6" s="1"/>
  <c r="F37" i="6"/>
  <c r="F38" i="6"/>
  <c r="F39" i="6"/>
  <c r="F40" i="6"/>
  <c r="F36" i="6"/>
  <c r="B37" i="6"/>
  <c r="B38" i="6"/>
  <c r="B39" i="6"/>
  <c r="B40" i="6"/>
  <c r="B36" i="6"/>
  <c r="D37" i="6"/>
  <c r="E38" i="6" s="1"/>
  <c r="D38" i="6"/>
  <c r="E39" i="6" s="1"/>
  <c r="D39" i="6"/>
  <c r="E40" i="6" s="1"/>
  <c r="D40" i="6"/>
  <c r="D36" i="6"/>
  <c r="E37" i="6" s="1"/>
  <c r="C37" i="6"/>
  <c r="C38" i="6"/>
  <c r="C39" i="6"/>
  <c r="C40" i="6"/>
  <c r="A40" i="6"/>
  <c r="A38" i="6"/>
  <c r="A39" i="6"/>
  <c r="A37" i="6"/>
  <c r="A36" i="6"/>
  <c r="L57" i="3"/>
  <c r="K57" i="3"/>
  <c r="J57" i="3"/>
  <c r="K105" i="3" l="1"/>
  <c r="K124" i="3"/>
  <c r="K143" i="3"/>
  <c r="C32" i="2"/>
  <c r="C33" i="2" s="1"/>
  <c r="C46" i="6"/>
  <c r="B42" i="6"/>
  <c r="C45" i="6" s="1"/>
  <c r="E36" i="6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36" i="4"/>
  <c r="D48" i="4"/>
  <c r="L37" i="4" s="1"/>
  <c r="D47" i="4"/>
  <c r="D49" i="4"/>
  <c r="D50" i="4" s="1"/>
  <c r="H50" i="4"/>
  <c r="G50" i="4"/>
  <c r="H49" i="4"/>
  <c r="G49" i="4"/>
  <c r="H48" i="4"/>
  <c r="G48" i="4"/>
  <c r="H47" i="4"/>
  <c r="G47" i="4"/>
  <c r="H46" i="4"/>
  <c r="G46" i="4"/>
  <c r="H45" i="4"/>
  <c r="G45" i="4"/>
  <c r="H51" i="4"/>
  <c r="H54" i="4" s="1"/>
  <c r="E64" i="3"/>
  <c r="D64" i="3"/>
  <c r="C64" i="3"/>
  <c r="B66" i="3"/>
  <c r="B67" i="3"/>
  <c r="B65" i="3"/>
  <c r="C59" i="3"/>
  <c r="N57" i="3" s="1"/>
  <c r="C58" i="3"/>
  <c r="M57" i="3" s="1"/>
  <c r="Q40" i="3"/>
  <c r="R40" i="3" s="1"/>
  <c r="L40" i="3"/>
  <c r="M40" i="3" s="1"/>
  <c r="G40" i="3"/>
  <c r="H40" i="3" s="1"/>
  <c r="L44" i="3"/>
  <c r="M44" i="3" s="1"/>
  <c r="N44" i="3" s="1"/>
  <c r="L43" i="3"/>
  <c r="M43" i="3" s="1"/>
  <c r="G44" i="3"/>
  <c r="H44" i="3" s="1"/>
  <c r="I44" i="3" s="1"/>
  <c r="G43" i="3"/>
  <c r="Q43" i="3" s="1"/>
  <c r="L42" i="3"/>
  <c r="M42" i="3" s="1"/>
  <c r="N42" i="3" s="1"/>
  <c r="C44" i="3"/>
  <c r="D44" i="3" s="1"/>
  <c r="C43" i="3"/>
  <c r="D43" i="3" s="1"/>
  <c r="C42" i="3"/>
  <c r="D42" i="3" s="1"/>
  <c r="C40" i="3"/>
  <c r="D40" i="3" s="1"/>
  <c r="B42" i="3"/>
  <c r="G42" i="3" s="1"/>
  <c r="B40" i="3"/>
  <c r="D41" i="3"/>
  <c r="C41" i="3"/>
  <c r="K56" i="3" s="1"/>
  <c r="K122" i="3" s="1"/>
  <c r="B45" i="3"/>
  <c r="C45" i="3" s="1"/>
  <c r="D45" i="3" s="1"/>
  <c r="B44" i="3"/>
  <c r="B43" i="3"/>
  <c r="B41" i="3"/>
  <c r="H42" i="3" l="1"/>
  <c r="I42" i="3" s="1"/>
  <c r="Q42" i="3"/>
  <c r="R42" i="3" s="1"/>
  <c r="S42" i="3" s="1"/>
  <c r="K159" i="3"/>
  <c r="K140" i="3"/>
  <c r="K121" i="3"/>
  <c r="B69" i="3"/>
  <c r="B68" i="3"/>
  <c r="K79" i="3"/>
  <c r="K60" i="3"/>
  <c r="K99" i="3"/>
  <c r="K119" i="3"/>
  <c r="K103" i="3"/>
  <c r="K80" i="3"/>
  <c r="K154" i="3"/>
  <c r="K141" i="3"/>
  <c r="K113" i="3"/>
  <c r="K72" i="3"/>
  <c r="K136" i="3"/>
  <c r="K129" i="3"/>
  <c r="K148" i="3"/>
  <c r="K145" i="3"/>
  <c r="K110" i="3"/>
  <c r="K123" i="3"/>
  <c r="K155" i="3"/>
  <c r="K149" i="3"/>
  <c r="K91" i="3"/>
  <c r="K133" i="3"/>
  <c r="K132" i="3"/>
  <c r="K58" i="3"/>
  <c r="K65" i="3"/>
  <c r="K94" i="3"/>
  <c r="K142" i="3"/>
  <c r="K62" i="3"/>
  <c r="K85" i="3"/>
  <c r="K84" i="3"/>
  <c r="K116" i="3"/>
  <c r="K81" i="3"/>
  <c r="K78" i="3"/>
  <c r="K158" i="3"/>
  <c r="K101" i="3"/>
  <c r="K126" i="3"/>
  <c r="K104" i="3"/>
  <c r="K68" i="3"/>
  <c r="K100" i="3"/>
  <c r="K97" i="3"/>
  <c r="K139" i="3"/>
  <c r="K88" i="3"/>
  <c r="K75" i="3"/>
  <c r="K107" i="3"/>
  <c r="K120" i="3"/>
  <c r="K152" i="3"/>
  <c r="K69" i="3"/>
  <c r="K117" i="3"/>
  <c r="K125" i="3"/>
  <c r="K156" i="3"/>
  <c r="K61" i="3"/>
  <c r="K95" i="3"/>
  <c r="K76" i="3"/>
  <c r="K115" i="3"/>
  <c r="K135" i="3"/>
  <c r="K83" i="3"/>
  <c r="K118" i="3"/>
  <c r="L45" i="3"/>
  <c r="L47" i="3" s="1"/>
  <c r="L51" i="3" s="1"/>
  <c r="D68" i="3" s="1"/>
  <c r="K114" i="3"/>
  <c r="K134" i="3"/>
  <c r="K96" i="3"/>
  <c r="K157" i="3"/>
  <c r="K138" i="3"/>
  <c r="K63" i="3"/>
  <c r="M104" i="3"/>
  <c r="M136" i="3"/>
  <c r="M152" i="3"/>
  <c r="M122" i="3"/>
  <c r="M148" i="3"/>
  <c r="M75" i="3"/>
  <c r="M69" i="3"/>
  <c r="M85" i="3"/>
  <c r="M139" i="3"/>
  <c r="M66" i="3"/>
  <c r="M98" i="3"/>
  <c r="M114" i="3"/>
  <c r="M130" i="3"/>
  <c r="M146" i="3"/>
  <c r="M71" i="3"/>
  <c r="M78" i="3"/>
  <c r="M63" i="3"/>
  <c r="M110" i="3"/>
  <c r="M142" i="3"/>
  <c r="M158" i="3"/>
  <c r="M60" i="3"/>
  <c r="M76" i="3"/>
  <c r="M92" i="3"/>
  <c r="M108" i="3"/>
  <c r="M124" i="3"/>
  <c r="M140" i="3"/>
  <c r="M156" i="3"/>
  <c r="M105" i="3"/>
  <c r="M121" i="3"/>
  <c r="M137" i="3"/>
  <c r="M153" i="3"/>
  <c r="M106" i="3"/>
  <c r="M119" i="3"/>
  <c r="M91" i="3"/>
  <c r="M70" i="3"/>
  <c r="M86" i="3"/>
  <c r="M102" i="3"/>
  <c r="M116" i="3"/>
  <c r="M81" i="3"/>
  <c r="M126" i="3"/>
  <c r="M67" i="3"/>
  <c r="M83" i="3"/>
  <c r="M99" i="3"/>
  <c r="M115" i="3"/>
  <c r="M131" i="3"/>
  <c r="M147" i="3"/>
  <c r="M74" i="3"/>
  <c r="M90" i="3"/>
  <c r="M103" i="3"/>
  <c r="M151" i="3"/>
  <c r="M68" i="3"/>
  <c r="M100" i="3"/>
  <c r="M65" i="3"/>
  <c r="M97" i="3"/>
  <c r="M129" i="3"/>
  <c r="M62" i="3"/>
  <c r="M123" i="3"/>
  <c r="M157" i="3"/>
  <c r="M154" i="3"/>
  <c r="M58" i="3"/>
  <c r="M113" i="3"/>
  <c r="M94" i="3"/>
  <c r="N139" i="3"/>
  <c r="N78" i="3"/>
  <c r="N130" i="3"/>
  <c r="N122" i="3"/>
  <c r="N121" i="3"/>
  <c r="N131" i="3"/>
  <c r="N94" i="3"/>
  <c r="K144" i="3"/>
  <c r="K82" i="3"/>
  <c r="K102" i="3"/>
  <c r="K98" i="3"/>
  <c r="K137" i="3"/>
  <c r="K111" i="3"/>
  <c r="K92" i="3"/>
  <c r="K73" i="3"/>
  <c r="K131" i="3"/>
  <c r="K151" i="3"/>
  <c r="G45" i="3"/>
  <c r="Q45" i="3" s="1"/>
  <c r="K77" i="3"/>
  <c r="K130" i="3"/>
  <c r="K150" i="3"/>
  <c r="K112" i="3"/>
  <c r="K71" i="3"/>
  <c r="K64" i="3"/>
  <c r="K153" i="3"/>
  <c r="K70" i="3"/>
  <c r="K93" i="3"/>
  <c r="K74" i="3"/>
  <c r="K108" i="3"/>
  <c r="K147" i="3"/>
  <c r="H41" i="3"/>
  <c r="M41" i="3" s="1"/>
  <c r="R41" i="3" s="1"/>
  <c r="K67" i="3"/>
  <c r="K128" i="3"/>
  <c r="K87" i="3"/>
  <c r="K66" i="3"/>
  <c r="I41" i="3"/>
  <c r="N41" i="3" s="1"/>
  <c r="S41" i="3" s="1"/>
  <c r="N56" i="3"/>
  <c r="N155" i="3" s="1"/>
  <c r="L56" i="3"/>
  <c r="K106" i="3"/>
  <c r="G41" i="3"/>
  <c r="J56" i="3"/>
  <c r="M56" i="3"/>
  <c r="M101" i="3" s="1"/>
  <c r="Q44" i="3"/>
  <c r="R44" i="3" s="1"/>
  <c r="S44" i="3" s="1"/>
  <c r="K127" i="3"/>
  <c r="K89" i="3"/>
  <c r="K146" i="3"/>
  <c r="B47" i="3"/>
  <c r="B50" i="3" s="1"/>
  <c r="B58" i="3" s="1"/>
  <c r="D58" i="3" s="1"/>
  <c r="K86" i="3"/>
  <c r="K59" i="3"/>
  <c r="K109" i="3"/>
  <c r="K90" i="3"/>
  <c r="L65" i="4"/>
  <c r="L64" i="4"/>
  <c r="L62" i="4"/>
  <c r="L61" i="4"/>
  <c r="L58" i="4"/>
  <c r="L57" i="4"/>
  <c r="L56" i="4"/>
  <c r="L52" i="4"/>
  <c r="L51" i="4"/>
  <c r="L36" i="4"/>
  <c r="L50" i="4"/>
  <c r="L74" i="4"/>
  <c r="L49" i="4"/>
  <c r="L73" i="4"/>
  <c r="L48" i="4"/>
  <c r="L72" i="4"/>
  <c r="L45" i="4"/>
  <c r="L68" i="4"/>
  <c r="L42" i="4"/>
  <c r="L67" i="4"/>
  <c r="L41" i="4"/>
  <c r="L66" i="4"/>
  <c r="L40" i="4"/>
  <c r="L63" i="4"/>
  <c r="L47" i="4"/>
  <c r="L46" i="4"/>
  <c r="L76" i="4"/>
  <c r="L60" i="4"/>
  <c r="L44" i="4"/>
  <c r="L75" i="4"/>
  <c r="L59" i="4"/>
  <c r="L43" i="4"/>
  <c r="L71" i="4"/>
  <c r="L55" i="4"/>
  <c r="L39" i="4"/>
  <c r="L70" i="4"/>
  <c r="L54" i="4"/>
  <c r="L38" i="4"/>
  <c r="L69" i="4"/>
  <c r="L53" i="4"/>
  <c r="G51" i="4"/>
  <c r="G54" i="4" s="1"/>
  <c r="H52" i="4"/>
  <c r="G52" i="4"/>
  <c r="L41" i="3"/>
  <c r="S40" i="3"/>
  <c r="R43" i="3"/>
  <c r="R45" i="3"/>
  <c r="N40" i="3"/>
  <c r="N43" i="3"/>
  <c r="I40" i="3"/>
  <c r="H43" i="3"/>
  <c r="D47" i="3"/>
  <c r="D46" i="3"/>
  <c r="D49" i="3" s="1"/>
  <c r="C47" i="3"/>
  <c r="C46" i="3"/>
  <c r="C48" i="3" s="1"/>
  <c r="B56" i="3" s="1"/>
  <c r="D56" i="3" s="1"/>
  <c r="B46" i="3"/>
  <c r="B48" i="3" s="1"/>
  <c r="B55" i="3" s="1"/>
  <c r="D55" i="3" s="1"/>
  <c r="N105" i="3" l="1"/>
  <c r="N84" i="3"/>
  <c r="N99" i="3"/>
  <c r="N89" i="3"/>
  <c r="N157" i="3"/>
  <c r="N98" i="3"/>
  <c r="N109" i="3"/>
  <c r="N107" i="3"/>
  <c r="N62" i="3"/>
  <c r="N114" i="3"/>
  <c r="N123" i="3"/>
  <c r="N73" i="3"/>
  <c r="N77" i="3"/>
  <c r="N91" i="3"/>
  <c r="N119" i="3"/>
  <c r="N67" i="3"/>
  <c r="N154" i="3"/>
  <c r="N143" i="3"/>
  <c r="N66" i="3"/>
  <c r="N152" i="3"/>
  <c r="N75" i="3"/>
  <c r="N115" i="3"/>
  <c r="N83" i="3"/>
  <c r="N74" i="3"/>
  <c r="N145" i="3"/>
  <c r="N138" i="3"/>
  <c r="N127" i="3"/>
  <c r="N158" i="3"/>
  <c r="N136" i="3"/>
  <c r="N82" i="3"/>
  <c r="N144" i="3"/>
  <c r="N90" i="3"/>
  <c r="N111" i="3"/>
  <c r="N110" i="3"/>
  <c r="N120" i="3"/>
  <c r="N128" i="3"/>
  <c r="M82" i="3"/>
  <c r="M120" i="3"/>
  <c r="N88" i="3"/>
  <c r="M88" i="3"/>
  <c r="N156" i="3"/>
  <c r="N96" i="3"/>
  <c r="N93" i="3"/>
  <c r="N72" i="3"/>
  <c r="N80" i="3"/>
  <c r="N118" i="3"/>
  <c r="N108" i="3"/>
  <c r="N97" i="3"/>
  <c r="N149" i="3"/>
  <c r="N126" i="3"/>
  <c r="M141" i="3"/>
  <c r="M144" i="3"/>
  <c r="M84" i="3"/>
  <c r="M89" i="3"/>
  <c r="M159" i="3"/>
  <c r="M107" i="3"/>
  <c r="M72" i="3"/>
  <c r="G46" i="3"/>
  <c r="G49" i="3" s="1"/>
  <c r="C65" i="3" s="1"/>
  <c r="N103" i="3"/>
  <c r="N124" i="3"/>
  <c r="N102" i="3"/>
  <c r="N92" i="3"/>
  <c r="N81" i="3"/>
  <c r="N133" i="3"/>
  <c r="N113" i="3"/>
  <c r="M125" i="3"/>
  <c r="M128" i="3"/>
  <c r="M138" i="3"/>
  <c r="M73" i="3"/>
  <c r="M143" i="3"/>
  <c r="M132" i="3"/>
  <c r="N71" i="3"/>
  <c r="N159" i="3"/>
  <c r="N148" i="3"/>
  <c r="N104" i="3"/>
  <c r="N140" i="3"/>
  <c r="N134" i="3"/>
  <c r="N141" i="3"/>
  <c r="N86" i="3"/>
  <c r="N76" i="3"/>
  <c r="N65" i="3"/>
  <c r="N117" i="3"/>
  <c r="N132" i="3"/>
  <c r="M109" i="3"/>
  <c r="M112" i="3"/>
  <c r="M59" i="3"/>
  <c r="M155" i="3"/>
  <c r="M127" i="3"/>
  <c r="M149" i="3"/>
  <c r="N112" i="3"/>
  <c r="N151" i="3"/>
  <c r="N70" i="3"/>
  <c r="N60" i="3"/>
  <c r="N87" i="3"/>
  <c r="N101" i="3"/>
  <c r="N100" i="3"/>
  <c r="M93" i="3"/>
  <c r="M96" i="3"/>
  <c r="M150" i="3"/>
  <c r="M145" i="3"/>
  <c r="M111" i="3"/>
  <c r="M133" i="3"/>
  <c r="L151" i="3"/>
  <c r="L68" i="3"/>
  <c r="L65" i="3"/>
  <c r="L155" i="3"/>
  <c r="L135" i="3"/>
  <c r="L58" i="3"/>
  <c r="L75" i="3"/>
  <c r="L78" i="3"/>
  <c r="L103" i="3"/>
  <c r="L84" i="3"/>
  <c r="L116" i="3"/>
  <c r="L123" i="3"/>
  <c r="L71" i="3"/>
  <c r="L119" i="3"/>
  <c r="L148" i="3"/>
  <c r="L145" i="3"/>
  <c r="L62" i="3"/>
  <c r="L107" i="3"/>
  <c r="L72" i="3"/>
  <c r="L94" i="3"/>
  <c r="L126" i="3"/>
  <c r="L158" i="3"/>
  <c r="L87" i="3"/>
  <c r="L100" i="3"/>
  <c r="L97" i="3"/>
  <c r="L129" i="3"/>
  <c r="L110" i="3"/>
  <c r="L142" i="3"/>
  <c r="L91" i="3"/>
  <c r="L120" i="3"/>
  <c r="L152" i="3"/>
  <c r="L132" i="3"/>
  <c r="L81" i="3"/>
  <c r="L139" i="3"/>
  <c r="L88" i="3"/>
  <c r="L104" i="3"/>
  <c r="L136" i="3"/>
  <c r="L113" i="3"/>
  <c r="L90" i="3"/>
  <c r="L131" i="3"/>
  <c r="L70" i="3"/>
  <c r="L149" i="3"/>
  <c r="L111" i="3"/>
  <c r="L93" i="3"/>
  <c r="L150" i="3"/>
  <c r="L92" i="3"/>
  <c r="L130" i="3"/>
  <c r="L133" i="3"/>
  <c r="L157" i="3"/>
  <c r="L147" i="3"/>
  <c r="L69" i="3"/>
  <c r="L77" i="3"/>
  <c r="L96" i="3"/>
  <c r="L73" i="3"/>
  <c r="L137" i="3"/>
  <c r="L66" i="3"/>
  <c r="L108" i="3"/>
  <c r="L74" i="3"/>
  <c r="L115" i="3"/>
  <c r="L153" i="3"/>
  <c r="L154" i="3"/>
  <c r="L134" i="3"/>
  <c r="L76" i="3"/>
  <c r="L95" i="3"/>
  <c r="L114" i="3"/>
  <c r="L117" i="3"/>
  <c r="L121" i="3"/>
  <c r="L146" i="3"/>
  <c r="L61" i="3"/>
  <c r="L80" i="3"/>
  <c r="L156" i="3"/>
  <c r="L141" i="3"/>
  <c r="L99" i="3"/>
  <c r="L82" i="3"/>
  <c r="L138" i="3"/>
  <c r="L118" i="3"/>
  <c r="L60" i="3"/>
  <c r="L79" i="3"/>
  <c r="L98" i="3"/>
  <c r="L64" i="3"/>
  <c r="L140" i="3"/>
  <c r="L159" i="3"/>
  <c r="L101" i="3"/>
  <c r="L63" i="3"/>
  <c r="L127" i="3"/>
  <c r="L125" i="3"/>
  <c r="L144" i="3"/>
  <c r="L83" i="3"/>
  <c r="L122" i="3"/>
  <c r="L102" i="3"/>
  <c r="L59" i="3"/>
  <c r="L124" i="3"/>
  <c r="L143" i="3"/>
  <c r="L85" i="3"/>
  <c r="L106" i="3"/>
  <c r="L112" i="3"/>
  <c r="L109" i="3"/>
  <c r="L128" i="3"/>
  <c r="L67" i="3"/>
  <c r="L105" i="3"/>
  <c r="L86" i="3"/>
  <c r="L89" i="3"/>
  <c r="N106" i="3"/>
  <c r="N135" i="3"/>
  <c r="B51" i="3"/>
  <c r="N129" i="3"/>
  <c r="N150" i="3"/>
  <c r="G47" i="3"/>
  <c r="G51" i="3" s="1"/>
  <c r="C68" i="3" s="1"/>
  <c r="H45" i="3"/>
  <c r="N59" i="3"/>
  <c r="N153" i="3"/>
  <c r="N58" i="3"/>
  <c r="N125" i="3"/>
  <c r="N85" i="3"/>
  <c r="N68" i="3"/>
  <c r="M77" i="3"/>
  <c r="M80" i="3"/>
  <c r="M134" i="3"/>
  <c r="M135" i="3"/>
  <c r="M95" i="3"/>
  <c r="M117" i="3"/>
  <c r="N95" i="3"/>
  <c r="N79" i="3"/>
  <c r="N63" i="3"/>
  <c r="N64" i="3"/>
  <c r="J159" i="3"/>
  <c r="J107" i="3"/>
  <c r="O107" i="3" s="1"/>
  <c r="J94" i="3"/>
  <c r="O94" i="3" s="1"/>
  <c r="J72" i="3"/>
  <c r="J120" i="3"/>
  <c r="O120" i="3" s="1"/>
  <c r="J113" i="3"/>
  <c r="J75" i="3"/>
  <c r="O75" i="3" s="1"/>
  <c r="J136" i="3"/>
  <c r="O136" i="3" s="1"/>
  <c r="J66" i="3"/>
  <c r="J81" i="3"/>
  <c r="J139" i="3"/>
  <c r="O139" i="3" s="1"/>
  <c r="J88" i="3"/>
  <c r="O88" i="3" s="1"/>
  <c r="J82" i="3"/>
  <c r="O82" i="3" s="1"/>
  <c r="J114" i="3"/>
  <c r="J91" i="3"/>
  <c r="J58" i="3"/>
  <c r="J98" i="3"/>
  <c r="J65" i="3"/>
  <c r="O65" i="3" s="1"/>
  <c r="J69" i="3"/>
  <c r="O69" i="3" s="1"/>
  <c r="J101" i="3"/>
  <c r="J133" i="3"/>
  <c r="J130" i="3"/>
  <c r="O130" i="3" s="1"/>
  <c r="J78" i="3"/>
  <c r="J126" i="3"/>
  <c r="O126" i="3" s="1"/>
  <c r="J158" i="3"/>
  <c r="O158" i="3" s="1"/>
  <c r="J155" i="3"/>
  <c r="O155" i="3" s="1"/>
  <c r="J149" i="3"/>
  <c r="J146" i="3"/>
  <c r="J145" i="3"/>
  <c r="O145" i="3" s="1"/>
  <c r="J110" i="3"/>
  <c r="O110" i="3" s="1"/>
  <c r="J142" i="3"/>
  <c r="J123" i="3"/>
  <c r="J104" i="3"/>
  <c r="J85" i="3"/>
  <c r="J117" i="3"/>
  <c r="J97" i="3"/>
  <c r="J62" i="3"/>
  <c r="O62" i="3" s="1"/>
  <c r="J129" i="3"/>
  <c r="J152" i="3"/>
  <c r="O152" i="3" s="1"/>
  <c r="J63" i="3"/>
  <c r="O63" i="3" s="1"/>
  <c r="J102" i="3"/>
  <c r="J121" i="3"/>
  <c r="O121" i="3" s="1"/>
  <c r="J140" i="3"/>
  <c r="O140" i="3" s="1"/>
  <c r="J143" i="3"/>
  <c r="O143" i="3" s="1"/>
  <c r="J128" i="3"/>
  <c r="O128" i="3" s="1"/>
  <c r="J89" i="3"/>
  <c r="J92" i="3"/>
  <c r="J87" i="3"/>
  <c r="J106" i="3"/>
  <c r="J83" i="3"/>
  <c r="J73" i="3"/>
  <c r="J151" i="3"/>
  <c r="O151" i="3" s="1"/>
  <c r="J84" i="3"/>
  <c r="J125" i="3"/>
  <c r="J64" i="3"/>
  <c r="O64" i="3" s="1"/>
  <c r="J134" i="3"/>
  <c r="J59" i="3"/>
  <c r="O59" i="3" s="1"/>
  <c r="J144" i="3"/>
  <c r="O144" i="3" s="1"/>
  <c r="J86" i="3"/>
  <c r="O86" i="3" s="1"/>
  <c r="J105" i="3"/>
  <c r="O105" i="3" s="1"/>
  <c r="J124" i="3"/>
  <c r="O124" i="3" s="1"/>
  <c r="J100" i="3"/>
  <c r="J71" i="3"/>
  <c r="O71" i="3" s="1"/>
  <c r="J90" i="3"/>
  <c r="J67" i="3"/>
  <c r="J118" i="3"/>
  <c r="J122" i="3"/>
  <c r="J68" i="3"/>
  <c r="O68" i="3" s="1"/>
  <c r="J109" i="3"/>
  <c r="O109" i="3" s="1"/>
  <c r="J147" i="3"/>
  <c r="J127" i="3"/>
  <c r="O127" i="3" s="1"/>
  <c r="J70" i="3"/>
  <c r="J148" i="3"/>
  <c r="O148" i="3" s="1"/>
  <c r="J108" i="3"/>
  <c r="J137" i="3"/>
  <c r="J60" i="3"/>
  <c r="O60" i="3" s="1"/>
  <c r="J74" i="3"/>
  <c r="O74" i="3" s="1"/>
  <c r="J150" i="3"/>
  <c r="O150" i="3" s="1"/>
  <c r="J156" i="3"/>
  <c r="J141" i="3"/>
  <c r="J135" i="3"/>
  <c r="J154" i="3"/>
  <c r="O154" i="3" s="1"/>
  <c r="J93" i="3"/>
  <c r="O93" i="3" s="1"/>
  <c r="J131" i="3"/>
  <c r="J111" i="3"/>
  <c r="O111" i="3" s="1"/>
  <c r="J103" i="3"/>
  <c r="O103" i="3" s="1"/>
  <c r="J80" i="3"/>
  <c r="J132" i="3"/>
  <c r="O132" i="3" s="1"/>
  <c r="J112" i="3"/>
  <c r="O112" i="3" s="1"/>
  <c r="J153" i="3"/>
  <c r="O153" i="3" s="1"/>
  <c r="J119" i="3"/>
  <c r="O119" i="3" s="1"/>
  <c r="J138" i="3"/>
  <c r="O138" i="3" s="1"/>
  <c r="J77" i="3"/>
  <c r="O77" i="3" s="1"/>
  <c r="J115" i="3"/>
  <c r="O115" i="3" s="1"/>
  <c r="J95" i="3"/>
  <c r="J99" i="3"/>
  <c r="J116" i="3"/>
  <c r="J157" i="3"/>
  <c r="O157" i="3" s="1"/>
  <c r="J96" i="3"/>
  <c r="O96" i="3" s="1"/>
  <c r="J76" i="3"/>
  <c r="J61" i="3"/>
  <c r="J79" i="3"/>
  <c r="O79" i="3" s="1"/>
  <c r="N61" i="3"/>
  <c r="M45" i="3"/>
  <c r="M46" i="3" s="1"/>
  <c r="N142" i="3"/>
  <c r="N147" i="3"/>
  <c r="N137" i="3"/>
  <c r="N116" i="3"/>
  <c r="N146" i="3"/>
  <c r="N69" i="3"/>
  <c r="M61" i="3"/>
  <c r="M64" i="3"/>
  <c r="M118" i="3"/>
  <c r="M87" i="3"/>
  <c r="M79" i="3"/>
  <c r="H53" i="4"/>
  <c r="G53" i="4"/>
  <c r="D51" i="4" s="1"/>
  <c r="D52" i="4" s="1"/>
  <c r="C51" i="3"/>
  <c r="C50" i="3"/>
  <c r="D51" i="3"/>
  <c r="D50" i="3"/>
  <c r="B59" i="3" s="1"/>
  <c r="D59" i="3" s="1"/>
  <c r="L46" i="3"/>
  <c r="L49" i="3" s="1"/>
  <c r="D65" i="3" s="1"/>
  <c r="Q41" i="3"/>
  <c r="S43" i="3"/>
  <c r="R46" i="3"/>
  <c r="S45" i="3"/>
  <c r="R47" i="3"/>
  <c r="R51" i="3" s="1"/>
  <c r="L50" i="3"/>
  <c r="I43" i="3"/>
  <c r="H46" i="3"/>
  <c r="I45" i="3"/>
  <c r="H47" i="3"/>
  <c r="H51" i="3" s="1"/>
  <c r="G48" i="3"/>
  <c r="G50" i="3"/>
  <c r="B49" i="3"/>
  <c r="D48" i="3"/>
  <c r="B57" i="3" s="1"/>
  <c r="D57" i="3" s="1"/>
  <c r="B61" i="3" s="1"/>
  <c r="C49" i="3"/>
  <c r="O146" i="3" l="1"/>
  <c r="O108" i="3"/>
  <c r="O81" i="3"/>
  <c r="O134" i="3"/>
  <c r="O78" i="3"/>
  <c r="O80" i="3"/>
  <c r="O147" i="3"/>
  <c r="O125" i="3"/>
  <c r="O129" i="3"/>
  <c r="O113" i="3"/>
  <c r="O133" i="3"/>
  <c r="O76" i="3"/>
  <c r="O97" i="3"/>
  <c r="O101" i="3"/>
  <c r="O72" i="3"/>
  <c r="O117" i="3"/>
  <c r="O137" i="3"/>
  <c r="O61" i="3"/>
  <c r="O131" i="3"/>
  <c r="O85" i="3"/>
  <c r="O66" i="3"/>
  <c r="O70" i="3"/>
  <c r="O73" i="3"/>
  <c r="O118" i="3"/>
  <c r="O83" i="3"/>
  <c r="M47" i="3"/>
  <c r="M50" i="3" s="1"/>
  <c r="O116" i="3"/>
  <c r="O135" i="3"/>
  <c r="O67" i="3"/>
  <c r="O106" i="3"/>
  <c r="O104" i="3"/>
  <c r="O98" i="3"/>
  <c r="O159" i="3"/>
  <c r="O99" i="3"/>
  <c r="O141" i="3"/>
  <c r="O90" i="3"/>
  <c r="O87" i="3"/>
  <c r="O123" i="3"/>
  <c r="O102" i="3"/>
  <c r="O84" i="3"/>
  <c r="O122" i="3"/>
  <c r="N45" i="3"/>
  <c r="O142" i="3"/>
  <c r="O91" i="3"/>
  <c r="O149" i="3"/>
  <c r="L48" i="3"/>
  <c r="O95" i="3"/>
  <c r="O156" i="3"/>
  <c r="O92" i="3"/>
  <c r="O100" i="3"/>
  <c r="O89" i="3"/>
  <c r="O114" i="3"/>
  <c r="D53" i="4"/>
  <c r="Q46" i="3"/>
  <c r="Q47" i="3"/>
  <c r="S47" i="3"/>
  <c r="S51" i="3" s="1"/>
  <c r="E69" i="3" s="1"/>
  <c r="S46" i="3"/>
  <c r="R48" i="3"/>
  <c r="R49" i="3"/>
  <c r="E66" i="3" s="1"/>
  <c r="S50" i="3"/>
  <c r="R50" i="3"/>
  <c r="N47" i="3"/>
  <c r="N46" i="3"/>
  <c r="M51" i="3"/>
  <c r="M49" i="3"/>
  <c r="D66" i="3" s="1"/>
  <c r="I47" i="3"/>
  <c r="I51" i="3" s="1"/>
  <c r="C69" i="3" s="1"/>
  <c r="I46" i="3"/>
  <c r="H49" i="3"/>
  <c r="C66" i="3" s="1"/>
  <c r="H48" i="3"/>
  <c r="H50" i="3"/>
  <c r="M48" i="3" l="1"/>
  <c r="D54" i="4"/>
  <c r="N52" i="4"/>
  <c r="O52" i="4" s="1"/>
  <c r="N68" i="4"/>
  <c r="O68" i="4" s="1"/>
  <c r="P68" i="4" s="1"/>
  <c r="N71" i="4"/>
  <c r="O71" i="4" s="1"/>
  <c r="P71" i="4" s="1"/>
  <c r="N40" i="4"/>
  <c r="O40" i="4" s="1"/>
  <c r="N72" i="4"/>
  <c r="O72" i="4" s="1"/>
  <c r="P72" i="4" s="1"/>
  <c r="N51" i="4"/>
  <c r="O51" i="4" s="1"/>
  <c r="N37" i="4"/>
  <c r="O37" i="4" s="1"/>
  <c r="N53" i="4"/>
  <c r="O53" i="4" s="1"/>
  <c r="N69" i="4"/>
  <c r="O69" i="4" s="1"/>
  <c r="P69" i="4" s="1"/>
  <c r="N55" i="4"/>
  <c r="O55" i="4" s="1"/>
  <c r="N73" i="4"/>
  <c r="O73" i="4" s="1"/>
  <c r="P73" i="4" s="1"/>
  <c r="N38" i="4"/>
  <c r="O38" i="4" s="1"/>
  <c r="N54" i="4"/>
  <c r="O54" i="4" s="1"/>
  <c r="N70" i="4"/>
  <c r="O70" i="4" s="1"/>
  <c r="P70" i="4" s="1"/>
  <c r="N39" i="4"/>
  <c r="O39" i="4" s="1"/>
  <c r="N56" i="4"/>
  <c r="O56" i="4" s="1"/>
  <c r="N41" i="4"/>
  <c r="O41" i="4" s="1"/>
  <c r="N57" i="4"/>
  <c r="O57" i="4" s="1"/>
  <c r="P57" i="4" s="1"/>
  <c r="N42" i="4"/>
  <c r="O42" i="4" s="1"/>
  <c r="N58" i="4"/>
  <c r="O58" i="4" s="1"/>
  <c r="P58" i="4" s="1"/>
  <c r="N74" i="4"/>
  <c r="O74" i="4" s="1"/>
  <c r="P74" i="4" s="1"/>
  <c r="N43" i="4"/>
  <c r="O43" i="4" s="1"/>
  <c r="N59" i="4"/>
  <c r="O59" i="4" s="1"/>
  <c r="P59" i="4" s="1"/>
  <c r="N75" i="4"/>
  <c r="O75" i="4" s="1"/>
  <c r="P75" i="4" s="1"/>
  <c r="N44" i="4"/>
  <c r="O44" i="4" s="1"/>
  <c r="N60" i="4"/>
  <c r="O60" i="4" s="1"/>
  <c r="P60" i="4" s="1"/>
  <c r="N76" i="4"/>
  <c r="O76" i="4" s="1"/>
  <c r="P76" i="4" s="1"/>
  <c r="N50" i="4"/>
  <c r="O50" i="4" s="1"/>
  <c r="N45" i="4"/>
  <c r="O45" i="4" s="1"/>
  <c r="N61" i="4"/>
  <c r="O61" i="4" s="1"/>
  <c r="P61" i="4" s="1"/>
  <c r="N36" i="4"/>
  <c r="O36" i="4" s="1"/>
  <c r="N46" i="4"/>
  <c r="O46" i="4" s="1"/>
  <c r="N62" i="4"/>
  <c r="O62" i="4" s="1"/>
  <c r="P62" i="4" s="1"/>
  <c r="N63" i="4"/>
  <c r="O63" i="4" s="1"/>
  <c r="P63" i="4" s="1"/>
  <c r="N48" i="4"/>
  <c r="O48" i="4" s="1"/>
  <c r="N64" i="4"/>
  <c r="O64" i="4" s="1"/>
  <c r="P64" i="4" s="1"/>
  <c r="N47" i="4"/>
  <c r="O47" i="4" s="1"/>
  <c r="N49" i="4"/>
  <c r="O49" i="4" s="1"/>
  <c r="N66" i="4"/>
  <c r="O66" i="4" s="1"/>
  <c r="P66" i="4" s="1"/>
  <c r="N67" i="4"/>
  <c r="O67" i="4" s="1"/>
  <c r="P67" i="4" s="1"/>
  <c r="N65" i="4"/>
  <c r="O65" i="4" s="1"/>
  <c r="P65" i="4" s="1"/>
  <c r="D57" i="4"/>
  <c r="D58" i="4" s="1"/>
  <c r="Q51" i="3"/>
  <c r="E68" i="3" s="1"/>
  <c r="Q50" i="3"/>
  <c r="Q49" i="3"/>
  <c r="E65" i="3" s="1"/>
  <c r="Q48" i="3"/>
  <c r="I50" i="3"/>
  <c r="S48" i="3"/>
  <c r="S49" i="3"/>
  <c r="E67" i="3" s="1"/>
  <c r="E70" i="3" s="1"/>
  <c r="N49" i="3"/>
  <c r="D67" i="3" s="1"/>
  <c r="N48" i="3"/>
  <c r="N51" i="3"/>
  <c r="D69" i="3" s="1"/>
  <c r="N50" i="3"/>
  <c r="I49" i="3"/>
  <c r="C67" i="3" s="1"/>
  <c r="C70" i="3" s="1"/>
  <c r="I48" i="3"/>
  <c r="D70" i="3" l="1"/>
  <c r="C27" i="2" l="1"/>
  <c r="D32" i="2" s="1"/>
  <c r="C26" i="2"/>
  <c r="D31" i="2" s="1"/>
  <c r="D33" i="2" s="1"/>
  <c r="D34" i="2" s="1"/>
  <c r="C28" i="2" l="1"/>
</calcChain>
</file>

<file path=xl/sharedStrings.xml><?xml version="1.0" encoding="utf-8"?>
<sst xmlns="http://schemas.openxmlformats.org/spreadsheetml/2006/main" count="355" uniqueCount="270">
  <si>
    <t>1. Инвестбанк работает маркет-мейкером валютной парыGBPUSD(фунт-</t>
  </si>
  <si>
    <t>доллар). Он купил у одного клиента 1 000 000 GBP по курсу 1.2510 (за 1</t>
  </si>
  <si>
    <t>фунт дают 1.2510 доллара) и продал другому клиенту 1 000 000 GBP по</t>
  </si>
  <si>
    <t>1.2505. Сколько банк заработал или потерял на этой паре сделок?</t>
  </si>
  <si>
    <t>A. Потерял 500 долларов</t>
  </si>
  <si>
    <t>B. Потерял 500 фунтов</t>
  </si>
  <si>
    <t>C. Заработал 500 долларов</t>
  </si>
  <si>
    <t>D. Заработал 500 фунтов</t>
  </si>
  <si>
    <t>// 1 pip = 100 USD, 5 pips lower -&gt; -500 USD</t>
  </si>
  <si>
    <t>2. Спот-курс валютной пары EURJPY (евро-иена) равен 160. Процентная</t>
  </si>
  <si>
    <t>ставка в евро 2%, в иенах 0% (простые проценты без капитализации).</t>
  </si>
  <si>
    <t>Чему равен справедливый форвардный курс для форварда с поставкой</t>
  </si>
  <si>
    <t>через 3 месяца (1/4 года)?</t>
  </si>
  <si>
    <t>A. 156.9</t>
  </si>
  <si>
    <t>B. 159.2</t>
  </si>
  <si>
    <t>C. 160.8</t>
  </si>
  <si>
    <t>D. 163.2</t>
  </si>
  <si>
    <t>// 160 / (1 + 0.02/4)</t>
  </si>
  <si>
    <t>3. Евровый депозит на год приносит 4% годовых, а депозит на два года</t>
  </si>
  <si>
    <t>— 3% годовых (обе ставки с непрерывной капитализацией). Какова спра-</t>
  </si>
  <si>
    <t>ведливая ставка по отложенному депозиту, который начнётся через год</t>
  </si>
  <si>
    <t>и закончится через два?</t>
  </si>
  <si>
    <t>A. 1%</t>
  </si>
  <si>
    <t>B. 2%</t>
  </si>
  <si>
    <t>C. 3%</t>
  </si>
  <si>
    <t>D. 4%</t>
  </si>
  <si>
    <t>// 2*3% - 1*4%</t>
  </si>
  <si>
    <t>4. Почему некоторые заёмщики предпочитают кредиты под плавающую</t>
  </si>
  <si>
    <t>ставку, привязанную к стоимости фондирования банков?</t>
  </si>
  <si>
    <t>B. Такие кредиты можно не учитывать в балансе по МСФО..</t>
  </si>
  <si>
    <t>A. В этом случае клиенты могут использовать в качестве залога долговые ценные бумаги, а не только физические активы.</t>
  </si>
  <si>
    <t>C. Некоторые виды кредитов, такие как ипотека, в принципе невозможно структурировать с фиксированной процентной ставкой.</t>
  </si>
  <si>
    <t>D. В среднем такой кредит может обойтись дешевле, потому что банк не будет закладывать в ставку term risk premium.</t>
  </si>
  <si>
    <t>5. Июньский фьючерс на EURIBOR стоит 96.0. Трейдер продал один такой</t>
  </si>
  <si>
    <t>фьючерс. В каком случае он заработает прибыль на своей ставке?</t>
  </si>
  <si>
    <t>A. Если и только если в июне EURIBOR окажется больше 0.96%</t>
  </si>
  <si>
    <t>B. Если и только если в июне EURIBOR окажется больше 4.0%</t>
  </si>
  <si>
    <t>C. Если и только если в июне EURIBOR окажется меньше 0.96%</t>
  </si>
  <si>
    <t>D. Если и только если в июне EURIBOR окажется меньше 4.0%</t>
  </si>
  <si>
    <t>6. Один крупный американский производитель самолётов обеспокоен</t>
  </si>
  <si>
    <t>возможным ростом цен на алюминий. Ему хотелось бы, чтобы через</t>
  </si>
  <si>
    <t>год он мог купить алюминий хотя бы по $2 700 за тонну или дешевле.</t>
  </si>
  <si>
    <t>Какую опционную сделку нужно заключить?</t>
  </si>
  <si>
    <t>A. Купить пут со страйком $2 700</t>
  </si>
  <si>
    <t>B. Продать пут со страйком $2 700</t>
  </si>
  <si>
    <t>С. Купить колл со страйком $2 700</t>
  </si>
  <si>
    <t>В. Продать колл со страйком $2 700</t>
  </si>
  <si>
    <t>7. Трейдер купил европейский ванильный пут на нефть со страйком $80</t>
  </si>
  <si>
    <t>за премию $2 и купил европейский ванильный колл со страйком $80 за</t>
  </si>
  <si>
    <t>премию $1. В момент исполнения нефть стоит $78 за баррель. Сколь-</t>
  </si>
  <si>
    <t>ко суммарно заработал или потерял трейдер, учитывая заплаченные</t>
  </si>
  <si>
    <t>премии.</t>
  </si>
  <si>
    <t>A. Потерял $3</t>
  </si>
  <si>
    <t>B. Потерял $1</t>
  </si>
  <si>
    <t>C. Заработал $1</t>
  </si>
  <si>
    <t>D. Заработал $3</t>
  </si>
  <si>
    <t>Payoff of the straddle is 1, cost of the straddle is -3</t>
  </si>
  <si>
    <t>8. Трейдер Артём купил по дешёвке колл-опцион на валютную пару</t>
  </si>
  <si>
    <t>USDRUB (доллар-рубль). Однако выяснилось, что Артём проспал пресс-</t>
  </si>
  <si>
    <t>конференцию Эльвиры Набиуллиной, на которой она объявила о сниже-</t>
  </si>
  <si>
    <t>нии процентной ставки в рублях на 2 процентных пункта. Риск-система</t>
  </si>
  <si>
    <t>сразу же показала Артёму, что опцион в его портфеле подешевел, хо-</t>
  </si>
  <si>
    <t>тя ни курс доллар-рубль, ни волатильность опционов не поменялись.</t>
  </si>
  <si>
    <t>Какой риск нанёс Артёму удар в спину?</t>
  </si>
  <si>
    <t>A. Вега</t>
  </si>
  <si>
    <t>B. Гамма</t>
  </si>
  <si>
    <t>C. Дельта</t>
  </si>
  <si>
    <t>D. Ро</t>
  </si>
  <si>
    <t>9. Годовая бескупонная облигация крупного английского банка име-</t>
  </si>
  <si>
    <t>ет доходность 2%. Такая же безрисковая годовая бескупонная государ-</t>
  </si>
  <si>
    <t>ственная облигация Соединённого Королевства имеет доходность 1.5%.</t>
  </si>
  <si>
    <t>В случае банкротства банка recovery rate составит 50%. Чему равна веро-</t>
  </si>
  <si>
    <t>ятность дефолта банка по мнению участников рынка?</t>
  </si>
  <si>
    <t>A. 4%</t>
  </si>
  <si>
    <t>B. 3%</t>
  </si>
  <si>
    <t>C. 2%</t>
  </si>
  <si>
    <t>D. 1%</t>
  </si>
  <si>
    <t>(2% - 1.5%) / (1 - 0.5)</t>
  </si>
  <si>
    <t>10. Почему азиатский опцион при прочих равных обычно дешевле, чем</t>
  </si>
  <si>
    <t>европейский ванильный опцион?</t>
  </si>
  <si>
    <t>A. Не существует аналитической формулы для цены азиатского опциона</t>
  </si>
  <si>
    <t>B. Азиатский опцион сложнее хеджировать, если к моменту экспирации цена базового актива оказывается вблизи страйка</t>
  </si>
  <si>
    <t>C. Усреднение цены базового актива в течение жизни азиатского опциона уменьшает неопределённость и разброс (волатильность) будущей выплаты</t>
  </si>
  <si>
    <t>D. В азиатские опционы всегда встраиваются барьеры, которые делают их дешевле</t>
  </si>
  <si>
    <t>Артём и забытый форвард (6 баллов)</t>
  </si>
  <si>
    <t>Три месяца назад трейдер Артём купил форвард на пару EURUSD (евро-</t>
  </si>
  <si>
    <t>доллар) в количестве 𝑁 = 10 000 000 евро. В то время спот-курс был на</t>
  </si>
  <si>
    <t>уровне 𝑆0 = 1.06 (за 1 евро давали 1.06 доллара), безрисковая ставка в</t>
  </si>
  <si>
    <t>долларах составляла 𝑟0 = 5%, в евро 𝑞 = 3% (обе ставки с непрерывной</t>
  </si>
  <si>
    <t>капитализацией), до даты поставки оставалось ровно 𝑇0 = 1/2 года. Ар-</t>
  </si>
  <si>
    <t>тём купил форвард ровно по справедливому курсу, без бид-аск спреда.</t>
  </si>
  <si>
    <t>К сожалению, форвард не попал в риск-систему из-за технической</t>
  </si>
  <si>
    <t>ошибки, а Артём про него забыл. Форвард нашли только сегодня, когда</t>
  </si>
  <si>
    <t>до даты поставки осталось 𝑇1 = 1/4 года. Спот-курс евро-доллар сегодня</t>
  </si>
  <si>
    <t>𝑆1 = 1.05. Безрисковая ставка в долларах тоже поменялась, теперь она</t>
  </si>
  <si>
    <t>составляет 𝑟1 = 5.5% (непрерывная капитализация).</t>
  </si>
  <si>
    <t>Чему был равен форвардный курс в самом начале (три месяца назад,</t>
  </si>
  <si>
    <t>за полгода до поставки по форварду)? Чему равен форвардный курс</t>
  </si>
  <si>
    <t>для той же даты поставки сегодня? Предположим, что Артём закроет</t>
  </si>
  <si>
    <t>позицию, купив или продав новый форвард с поставкой через 𝑇1 = 1/4</t>
  </si>
  <si>
    <t>года так, чтобы платежи в евро схлопнулись в ноль. Какую прибыль или</t>
  </si>
  <si>
    <t>убыток он зафиксирует? Дайте ответ в сегодняшних долларах (то есть с</t>
  </si>
  <si>
    <t>учётом дисконтирования по долларовой ставке).</t>
  </si>
  <si>
    <t>S0</t>
  </si>
  <si>
    <t>r0</t>
  </si>
  <si>
    <t>q</t>
  </si>
  <si>
    <t>S1</t>
  </si>
  <si>
    <t>r1</t>
  </si>
  <si>
    <t>T0</t>
  </si>
  <si>
    <t>T1</t>
  </si>
  <si>
    <t>N</t>
  </si>
  <si>
    <t>Loss, USD</t>
  </si>
  <si>
    <t>Fair fwd rate today</t>
  </si>
  <si>
    <t>Улучшенная бабочка (6 баллов)</t>
  </si>
  <si>
    <t>Улучшенная бабочка — опционная структура, которая задаётся страй-</t>
  </si>
  <si>
    <t>ком 𝐾, «размахом» 𝑑𝐾 и размером «улучшения» 𝐼 . Выплата по улуч-</t>
  </si>
  <si>
    <t>шенной бабочке 𝑉 (𝑆𝑇 ) зависит только от цены базового актива на мо-</t>
  </si>
  <si>
    <t>мент экспирации 𝑆𝑇 . График выплаты приведён на рисунке 1. Выплата</t>
  </si>
  <si>
    <t>определяется по следующей формуле:</t>
  </si>
  <si>
    <t>Как составить такую улучшенную бабочку из европейских ваниль-</t>
  </si>
  <si>
    <t>ных и/или европейских цифровых опционов? Предположим, что мы</t>
  </si>
  <si>
    <t>живём в мире Блэка-Шоулза. Текущая цена акции 𝑆 = $150, волатиль-</t>
  </si>
  <si>
    <t>ность 𝜎 = 30%, безрисковая ставка 𝑟 = 5%, дивидендная доходность</t>
  </si>
  <si>
    <t>𝑞 = 0%, до экспирации бабочки осталось 𝑇 = 0.5 года. Сколько стоит ба-</t>
  </si>
  <si>
    <t>бочка со страйком 𝐾 = $150, размахом 𝑑𝐾 = $25 и улучшением 𝐼 = $10?</t>
  </si>
  <si>
    <t>Посчитайте вегу такой бабочки в трёх сценариях: если текущая цена</t>
  </si>
  <si>
    <t>K</t>
  </si>
  <si>
    <t>dK</t>
  </si>
  <si>
    <t>I</t>
  </si>
  <si>
    <t>T</t>
  </si>
  <si>
    <t>S</t>
  </si>
  <si>
    <t>sigma</t>
  </si>
  <si>
    <t>r</t>
  </si>
  <si>
    <t>S2</t>
  </si>
  <si>
    <t>S3</t>
  </si>
  <si>
    <t>d1</t>
  </si>
  <si>
    <t>d2</t>
  </si>
  <si>
    <t>B-S Call</t>
  </si>
  <si>
    <t>K-dK</t>
  </si>
  <si>
    <t>d+dK</t>
  </si>
  <si>
    <t>B-S Vega</t>
  </si>
  <si>
    <t>Digital</t>
  </si>
  <si>
    <t>Digital Vega</t>
  </si>
  <si>
    <t>Price</t>
  </si>
  <si>
    <t>S0=150</t>
  </si>
  <si>
    <t>Vega</t>
  </si>
  <si>
    <t>Qty</t>
  </si>
  <si>
    <t>Call K-dK</t>
  </si>
  <si>
    <t>Call K</t>
  </si>
  <si>
    <t>Call K+dK</t>
  </si>
  <si>
    <t>Digital K-dK</t>
  </si>
  <si>
    <t>Digital K+dK</t>
  </si>
  <si>
    <t>Cost</t>
  </si>
  <si>
    <t>&lt;--- Fair price of the improved butterfly</t>
  </si>
  <si>
    <t>Vega, USD/%</t>
  </si>
  <si>
    <t>акции 𝑆1 = $100, 𝑆2 = $150, 𝑆3 =200. Дайте ответ в долларах на про-</t>
  </si>
  <si>
    <t>Хеджирование структурной ноты (6 баллов)</t>
  </si>
  <si>
    <t>Структурная нота с частичной защитой капитала устроена следующим</t>
  </si>
  <si>
    <t>образом. Инвестор вкладывает начальный капитал𝑁 = $100 000 и услов-</t>
  </si>
  <si>
    <t>но «покупает» на них 20 «акций» индекса S&amp;P 500 по рыночной цене</t>
  </si>
  <si>
    <t>𝑆0 = $5 000 за штуку.</t>
  </si>
  <si>
    <t>Если через 𝑇 = 1 год индекс снижается до уровня 𝑆𝑇 &lt; 𝑆0, но остаётся</t>
  </si>
  <si>
    <t>выше уровня защиты 𝐵 = $4 800, то инвестор участвует в убытках пол-</t>
  </si>
  <si>
    <t>ностью. Он получит назад 𝑁/𝑆0 ⋅ 𝑆𝑇 долларов. Например, если индекс</t>
  </si>
  <si>
    <t>упал до $4 900, то инвестор потеряет по $100 на каждой из 20 «акций»</t>
  </si>
  <si>
    <t>или $2 000 всего.</t>
  </si>
  <si>
    <t>Если индекс падает до уровня защиты 𝐵 = $4 800 или ниже, то всту-</t>
  </si>
  <si>
    <t>пает в действие защита. Инвестор получит назад 𝑁/𝑆0 ⋅ 𝐵 долларов,</t>
  </si>
  <si>
    <t>даже если индекс улетит в ноль. Другими словами, возможные убытки</t>
  </si>
  <si>
    <t>инвестора ограничены $200 на акцию индекса.</t>
  </si>
  <si>
    <t>Взамен за защиту инвестор соглашается на ограниченное участие в</t>
  </si>
  <si>
    <t>прибыли от роста индекса. Коэффициент участия 𝑝 — параметр ноты,</t>
  </si>
  <si>
    <t>который вы должны вычислить. Если в конце срока индекс забирается</t>
  </si>
  <si>
    <t>выше текущего уровня, то инвестор получит назад 𝑁(1 + 𝑝 ⋅ (𝑆𝑇 − 𝑆0)/𝑆0)</t>
  </si>
  <si>
    <t>долларов. Например, если индекс вырастет за год до $5 300, а коэффици-</t>
  </si>
  <si>
    <t>ент участия равен 60%, то инвестор заработает по $180 с каждой акции</t>
  </si>
  <si>
    <t>индекса или $3 600 всего.</t>
  </si>
  <si>
    <t>Предположим, что мы живём в мире Блэка-Шоулза. Волатильность</t>
  </si>
  <si>
    <t>индекса 𝜎 = 25%, безрисковая ставка 𝑟 = 5%, дивидендная доходность</t>
  </si>
  <si>
    <t>𝑞 = 2%. Чему равен честный коэффициент участия 𝑝? По необходимо-</t>
  </si>
  <si>
    <t>сти используйте цифровые опционы и/или ванильные опционы и/или</t>
  </si>
  <si>
    <t>безрисковые депозиты и/или сделки с базовым активом.</t>
  </si>
  <si>
    <t>Представьте, что вы продали клиенту такую ноту. Вы не смогли</t>
  </si>
  <si>
    <t>найти на рынке необходимые для репликации опционы, поэтому вы</t>
  </si>
  <si>
    <t>будете заниматься дельта-репликацией. Сколько единиц базового ак-</t>
  </si>
  <si>
    <t>тива («акций» индекса) вам нужно купить или продать прямо сейчас</t>
  </si>
  <si>
    <t>по рыночной цене 𝑆0, чтобы дельта вашего портфеля (проданная нота</t>
  </si>
  <si>
    <t>плюс базовый актив) стала равна нулю?</t>
  </si>
  <si>
    <t>N, USD</t>
  </si>
  <si>
    <t>B</t>
  </si>
  <si>
    <t>Call Delta</t>
  </si>
  <si>
    <t>One of possible replication strategies:</t>
  </si>
  <si>
    <t>3) Sell some calls 5000</t>
  </si>
  <si>
    <t>Guaranteed payment in 1 year</t>
  </si>
  <si>
    <t>Invest today in risk-free bonds:</t>
  </si>
  <si>
    <t>Index "shares" to buy</t>
  </si>
  <si>
    <t>Deficit</t>
  </si>
  <si>
    <t>Budget for options</t>
  </si>
  <si>
    <t>Participation rate</t>
  </si>
  <si>
    <t>2) Buy 20 calls 4800</t>
  </si>
  <si>
    <t>Structured note delta</t>
  </si>
  <si>
    <t>Delta hedge for the issuer</t>
  </si>
  <si>
    <t>Plain long Sp500</t>
  </si>
  <si>
    <t>Risk-free</t>
  </si>
  <si>
    <t>Long Calls-4800</t>
  </si>
  <si>
    <t>Short Calls-5000</t>
  </si>
  <si>
    <t>Structured note</t>
  </si>
  <si>
    <t>Fair fwd rate at inception</t>
  </si>
  <si>
    <t>Vanilla</t>
  </si>
  <si>
    <t>Type</t>
  </si>
  <si>
    <t>Strike</t>
  </si>
  <si>
    <t>Total</t>
  </si>
  <si>
    <t>Кредитный своп (6 баллов)</t>
  </si>
  <si>
    <t>В таблице 1 приведены доходности бескупонных государственных об-</t>
  </si>
  <si>
    <t>лигаций, которые мы считаем безрисковыми, и бескупонных корпора-</t>
  </si>
  <si>
    <t>тивных облигаций некоторого эмитента. Все доходности даны в виде</t>
  </si>
  <si>
    <t>процентных ставок с ежегодной капитализацией. Будем считать, что в</t>
  </si>
  <si>
    <t>случае дефолта по корпоративной облигации владелец получит оста-</t>
  </si>
  <si>
    <t>точную стоимость в ту же дату, в которую должнен был получить но-</t>
  </si>
  <si>
    <t>минал облигации. Recovery rate в случае дефолта составит 𝑅 = 40%.</t>
  </si>
  <si>
    <t>Срок Безрисковая Корпоративная</t>
  </si>
  <si>
    <t>1 год 4.4% 4.6%</t>
  </si>
  <si>
    <t>2 года 4.5% 4.7%</t>
  </si>
  <si>
    <t>3 года 4.6% 4.9%</t>
  </si>
  <si>
    <t>4 года 4.8% 5.2%</t>
  </si>
  <si>
    <t>5 лет 5.0% 5.5%</t>
  </si>
  <si>
    <t>Таблица 1: Доходности облигаций</t>
  </si>
  <si>
    <t>Рассмотрим пятилетний кредитный дефолтный своп, в котором вы-</t>
  </si>
  <si>
    <t>плата купона происходит раз в год. При наступлении страхового случая</t>
  </si>
  <si>
    <t>покупатель свопа получит вылату в следующую купонную дату. Вы-</t>
  </si>
  <si>
    <t>платой накопленного купона можно пренебречь.</t>
  </si>
  <si>
    <t>Чему равен честный купон в таком свопе? Пожалуйста, не пренебре-</t>
  </si>
  <si>
    <t>гайте дисконтированием будущих платежей по безрисковой ставке.</t>
  </si>
  <si>
    <t>Предположим, что на рынке станадартный купон в свопах на эми-</t>
  </si>
  <si>
    <t>тентов инвестиционного рейтинга — 1% годовых. Номинал нашего сво-</t>
  </si>
  <si>
    <t>па 𝑁 = $1 000 000. Сколько долларов покупатель должен заплатить про-</t>
  </si>
  <si>
    <t>давцу (или наоборот) в начале жизни свопа, чтобы своп с фиксирован-</t>
  </si>
  <si>
    <t>ным купоном 1% остался честным?</t>
  </si>
  <si>
    <t>Gov</t>
  </si>
  <si>
    <t>Corp</t>
  </si>
  <si>
    <t>Fixed Cpn</t>
  </si>
  <si>
    <t>Recovery</t>
  </si>
  <si>
    <t>Def Prob</t>
  </si>
  <si>
    <t>Survival</t>
  </si>
  <si>
    <t>Interval PD</t>
  </si>
  <si>
    <t>DiscFact</t>
  </si>
  <si>
    <t>Buyer</t>
  </si>
  <si>
    <t>Seller</t>
  </si>
  <si>
    <t>Buyer pays</t>
  </si>
  <si>
    <t>Seller pays</t>
  </si>
  <si>
    <t>Buyer's upfront payment</t>
  </si>
  <si>
    <t>&lt;--- Buyer gives 860 to the seller</t>
  </si>
  <si>
    <t>Fair coupon</t>
  </si>
  <si>
    <t>EUR</t>
  </si>
  <si>
    <t>USD</t>
  </si>
  <si>
    <t>Artem's Forward</t>
  </si>
  <si>
    <t>New forward</t>
  </si>
  <si>
    <t>&lt;--- Cross check the PV</t>
  </si>
  <si>
    <t>&lt;--- Negative means a loss</t>
  </si>
  <si>
    <t>0, 𝑆𝑇 ≤ 𝐾 − 𝑑𝐾</t>
  </si>
  <si>
    <t>𝐼 + 𝑑𝐾 − |𝑆𝑇 − 𝐾|, 𝐾 − 𝑑𝐾 &lt; 𝑆𝑇 ≤ 𝐾 + 𝑑𝐾</t>
  </si>
  <si>
    <t>0, 𝑆𝑇 &gt; 𝐾 + 𝑑𝐾</t>
  </si>
  <si>
    <t>1) "Normal" butterfly is long vanilla calls at strikes K-dK and K+dK, short two vanilla calls at strike K</t>
  </si>
  <si>
    <t>2) "Improved" buterrfly is the same + long I digital calls at K-dK and short I digitals at K+dk</t>
  </si>
  <si>
    <t>1) Invest around 91,000 today into risk-free bond to guarantee the worst-case payoff</t>
  </si>
  <si>
    <t>Cost of calls at barrier 4800</t>
  </si>
  <si>
    <t>Quantity of calls-5000 to be sold</t>
  </si>
  <si>
    <t>Position of the note issuer</t>
  </si>
  <si>
    <t>&lt;--- Buy this quantity of SP500 shares to be hedged</t>
  </si>
  <si>
    <t>центный пункт.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</si>
</sst>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#,##0.0000"/>
    <numFmt numFmtId="166" formatCode="0.0000"/>
    <numFmt numFmtId="167" formatCode="0.0%"/>
    <numFmt numFmtId="168" formatCode="#,##0_ ;\-#,##0\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0" fillId="2" borderId="0" xfId="0" applyFill="1"/>
    <xf numFmtId="9" fontId="0" fillId="0" borderId="0" xfId="0" applyNumberFormat="1"/>
    <xf numFmtId="10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3" fontId="0" fillId="3" borderId="0" xfId="0" applyNumberFormat="1" applyFill="1"/>
    <xf numFmtId="0" fontId="0" fillId="3" borderId="0" xfId="0" applyFill="1"/>
    <xf numFmtId="9" fontId="0" fillId="3" borderId="0" xfId="0" applyNumberFormat="1" applyFill="1"/>
    <xf numFmtId="4" fontId="0" fillId="3" borderId="0" xfId="0" applyNumberFormat="1" applyFill="1"/>
    <xf numFmtId="10" fontId="0" fillId="3" borderId="0" xfId="0" applyNumberFormat="1" applyFill="1"/>
    <xf numFmtId="165" fontId="0" fillId="4" borderId="0" xfId="0" applyNumberFormat="1" applyFill="1"/>
    <xf numFmtId="166" fontId="0" fillId="4" borderId="0" xfId="0" applyNumberFormat="1" applyFill="1"/>
    <xf numFmtId="3" fontId="0" fillId="4" borderId="0" xfId="0" applyNumberFormat="1" applyFill="1"/>
    <xf numFmtId="2" fontId="0" fillId="0" borderId="0" xfId="0" applyNumberFormat="1"/>
    <xf numFmtId="3" fontId="0" fillId="5" borderId="0" xfId="0" applyNumberFormat="1" applyFill="1"/>
    <xf numFmtId="2" fontId="0" fillId="5" borderId="0" xfId="0" applyNumberFormat="1" applyFill="1"/>
    <xf numFmtId="165" fontId="0" fillId="5" borderId="0" xfId="0" applyNumberFormat="1" applyFill="1"/>
    <xf numFmtId="4" fontId="0" fillId="4" borderId="0" xfId="0" applyNumberFormat="1" applyFill="1"/>
    <xf numFmtId="167" fontId="0" fillId="0" borderId="0" xfId="0" applyNumberFormat="1"/>
    <xf numFmtId="167" fontId="0" fillId="4" borderId="0" xfId="0" applyNumberFormat="1" applyFill="1"/>
    <xf numFmtId="10" fontId="0" fillId="4" borderId="0" xfId="0" applyNumberFormat="1" applyFill="1"/>
    <xf numFmtId="167" fontId="0" fillId="3" borderId="0" xfId="0" applyNumberFormat="1" applyFill="1"/>
    <xf numFmtId="168" fontId="0" fillId="3" borderId="0" xfId="0" applyNumberFormat="1" applyFill="1"/>
    <xf numFmtId="16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Problem3!$J$58</c:f>
              <c:strCache>
                <c:ptCount val="1"/>
                <c:pt idx="0">
                  <c:v>1 x Vanilla-125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Problem3!$I$59:$I$159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124.99</c:v>
                </c:pt>
                <c:pt idx="25">
                  <c:v>125</c:v>
                </c:pt>
                <c:pt idx="26">
                  <c:v>125.01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174.99</c:v>
                </c:pt>
                <c:pt idx="75">
                  <c:v>175</c:v>
                </c:pt>
                <c:pt idx="76">
                  <c:v>175.01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Problem3!$J$59:$J$159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1.0000000000005116E-2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30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35</c:v>
                </c:pt>
                <c:pt idx="61">
                  <c:v>36</c:v>
                </c:pt>
                <c:pt idx="62">
                  <c:v>37</c:v>
                </c:pt>
                <c:pt idx="63">
                  <c:v>38</c:v>
                </c:pt>
                <c:pt idx="64">
                  <c:v>39</c:v>
                </c:pt>
                <c:pt idx="65">
                  <c:v>40</c:v>
                </c:pt>
                <c:pt idx="66">
                  <c:v>41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49.990000000000009</c:v>
                </c:pt>
                <c:pt idx="75">
                  <c:v>50</c:v>
                </c:pt>
                <c:pt idx="76">
                  <c:v>50.009999999999991</c:v>
                </c:pt>
                <c:pt idx="77">
                  <c:v>52</c:v>
                </c:pt>
                <c:pt idx="78">
                  <c:v>53</c:v>
                </c:pt>
                <c:pt idx="79">
                  <c:v>54</c:v>
                </c:pt>
                <c:pt idx="80">
                  <c:v>55</c:v>
                </c:pt>
                <c:pt idx="81">
                  <c:v>56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60</c:v>
                </c:pt>
                <c:pt idx="86">
                  <c:v>61</c:v>
                </c:pt>
                <c:pt idx="87">
                  <c:v>62</c:v>
                </c:pt>
                <c:pt idx="88">
                  <c:v>63</c:v>
                </c:pt>
                <c:pt idx="89">
                  <c:v>64</c:v>
                </c:pt>
                <c:pt idx="90">
                  <c:v>65</c:v>
                </c:pt>
                <c:pt idx="91">
                  <c:v>66</c:v>
                </c:pt>
                <c:pt idx="92">
                  <c:v>67</c:v>
                </c:pt>
                <c:pt idx="93">
                  <c:v>68</c:v>
                </c:pt>
                <c:pt idx="94">
                  <c:v>69</c:v>
                </c:pt>
                <c:pt idx="95">
                  <c:v>70</c:v>
                </c:pt>
                <c:pt idx="96">
                  <c:v>71</c:v>
                </c:pt>
                <c:pt idx="97">
                  <c:v>72</c:v>
                </c:pt>
                <c:pt idx="98">
                  <c:v>73</c:v>
                </c:pt>
                <c:pt idx="99">
                  <c:v>74</c:v>
                </c:pt>
                <c:pt idx="100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0-4532-B753-EB254F946624}"/>
            </c:ext>
          </c:extLst>
        </c:ser>
        <c:ser>
          <c:idx val="1"/>
          <c:order val="1"/>
          <c:tx>
            <c:strRef>
              <c:f>Problem3!$K$58</c:f>
              <c:strCache>
                <c:ptCount val="1"/>
                <c:pt idx="0">
                  <c:v>-2 x Vanilla-150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Problem3!$I$59:$I$159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124.99</c:v>
                </c:pt>
                <c:pt idx="25">
                  <c:v>125</c:v>
                </c:pt>
                <c:pt idx="26">
                  <c:v>125.01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174.99</c:v>
                </c:pt>
                <c:pt idx="75">
                  <c:v>175</c:v>
                </c:pt>
                <c:pt idx="76">
                  <c:v>175.01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Problem3!$K$59:$K$159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-4</c:v>
                </c:pt>
                <c:pt idx="53">
                  <c:v>-6</c:v>
                </c:pt>
                <c:pt idx="54">
                  <c:v>-8</c:v>
                </c:pt>
                <c:pt idx="55">
                  <c:v>-10</c:v>
                </c:pt>
                <c:pt idx="56">
                  <c:v>-12</c:v>
                </c:pt>
                <c:pt idx="57">
                  <c:v>-14</c:v>
                </c:pt>
                <c:pt idx="58">
                  <c:v>-16</c:v>
                </c:pt>
                <c:pt idx="59">
                  <c:v>-18</c:v>
                </c:pt>
                <c:pt idx="60">
                  <c:v>-20</c:v>
                </c:pt>
                <c:pt idx="61">
                  <c:v>-22</c:v>
                </c:pt>
                <c:pt idx="62">
                  <c:v>-24</c:v>
                </c:pt>
                <c:pt idx="63">
                  <c:v>-26</c:v>
                </c:pt>
                <c:pt idx="64">
                  <c:v>-28</c:v>
                </c:pt>
                <c:pt idx="65">
                  <c:v>-30</c:v>
                </c:pt>
                <c:pt idx="66">
                  <c:v>-32</c:v>
                </c:pt>
                <c:pt idx="67">
                  <c:v>-34</c:v>
                </c:pt>
                <c:pt idx="68">
                  <c:v>-36</c:v>
                </c:pt>
                <c:pt idx="69">
                  <c:v>-38</c:v>
                </c:pt>
                <c:pt idx="70">
                  <c:v>-40</c:v>
                </c:pt>
                <c:pt idx="71">
                  <c:v>-42</c:v>
                </c:pt>
                <c:pt idx="72">
                  <c:v>-44</c:v>
                </c:pt>
                <c:pt idx="73">
                  <c:v>-46</c:v>
                </c:pt>
                <c:pt idx="74">
                  <c:v>-49.980000000000018</c:v>
                </c:pt>
                <c:pt idx="75">
                  <c:v>-50</c:v>
                </c:pt>
                <c:pt idx="76">
                  <c:v>-50.019999999999982</c:v>
                </c:pt>
                <c:pt idx="77">
                  <c:v>-54</c:v>
                </c:pt>
                <c:pt idx="78">
                  <c:v>-56</c:v>
                </c:pt>
                <c:pt idx="79">
                  <c:v>-58</c:v>
                </c:pt>
                <c:pt idx="80">
                  <c:v>-60</c:v>
                </c:pt>
                <c:pt idx="81">
                  <c:v>-62</c:v>
                </c:pt>
                <c:pt idx="82">
                  <c:v>-64</c:v>
                </c:pt>
                <c:pt idx="83">
                  <c:v>-66</c:v>
                </c:pt>
                <c:pt idx="84">
                  <c:v>-68</c:v>
                </c:pt>
                <c:pt idx="85">
                  <c:v>-70</c:v>
                </c:pt>
                <c:pt idx="86">
                  <c:v>-72</c:v>
                </c:pt>
                <c:pt idx="87">
                  <c:v>-74</c:v>
                </c:pt>
                <c:pt idx="88">
                  <c:v>-76</c:v>
                </c:pt>
                <c:pt idx="89">
                  <c:v>-78</c:v>
                </c:pt>
                <c:pt idx="90">
                  <c:v>-80</c:v>
                </c:pt>
                <c:pt idx="91">
                  <c:v>-82</c:v>
                </c:pt>
                <c:pt idx="92">
                  <c:v>-84</c:v>
                </c:pt>
                <c:pt idx="93">
                  <c:v>-86</c:v>
                </c:pt>
                <c:pt idx="94">
                  <c:v>-88</c:v>
                </c:pt>
                <c:pt idx="95">
                  <c:v>-90</c:v>
                </c:pt>
                <c:pt idx="96">
                  <c:v>-92</c:v>
                </c:pt>
                <c:pt idx="97">
                  <c:v>-94</c:v>
                </c:pt>
                <c:pt idx="98">
                  <c:v>-96</c:v>
                </c:pt>
                <c:pt idx="99">
                  <c:v>-98</c:v>
                </c:pt>
                <c:pt idx="10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0-4532-B753-EB254F946624}"/>
            </c:ext>
          </c:extLst>
        </c:ser>
        <c:ser>
          <c:idx val="2"/>
          <c:order val="2"/>
          <c:tx>
            <c:strRef>
              <c:f>Problem3!$L$58</c:f>
              <c:strCache>
                <c:ptCount val="1"/>
                <c:pt idx="0">
                  <c:v>1 x Vanilla-175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Problem3!$I$59:$I$159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124.99</c:v>
                </c:pt>
                <c:pt idx="25">
                  <c:v>125</c:v>
                </c:pt>
                <c:pt idx="26">
                  <c:v>125.01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174.99</c:v>
                </c:pt>
                <c:pt idx="75">
                  <c:v>175</c:v>
                </c:pt>
                <c:pt idx="76">
                  <c:v>175.01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Problem3!$L$59:$L$159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9.9999999999909051E-3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7</c:v>
                </c:pt>
                <c:pt idx="83">
                  <c:v>8</c:v>
                </c:pt>
                <c:pt idx="84">
                  <c:v>9</c:v>
                </c:pt>
                <c:pt idx="85">
                  <c:v>10</c:v>
                </c:pt>
                <c:pt idx="86">
                  <c:v>11</c:v>
                </c:pt>
                <c:pt idx="87">
                  <c:v>12</c:v>
                </c:pt>
                <c:pt idx="88">
                  <c:v>13</c:v>
                </c:pt>
                <c:pt idx="89">
                  <c:v>14</c:v>
                </c:pt>
                <c:pt idx="90">
                  <c:v>15</c:v>
                </c:pt>
                <c:pt idx="91">
                  <c:v>16</c:v>
                </c:pt>
                <c:pt idx="92">
                  <c:v>17</c:v>
                </c:pt>
                <c:pt idx="93">
                  <c:v>18</c:v>
                </c:pt>
                <c:pt idx="94">
                  <c:v>19</c:v>
                </c:pt>
                <c:pt idx="95">
                  <c:v>20</c:v>
                </c:pt>
                <c:pt idx="96">
                  <c:v>21</c:v>
                </c:pt>
                <c:pt idx="97">
                  <c:v>22</c:v>
                </c:pt>
                <c:pt idx="98">
                  <c:v>23</c:v>
                </c:pt>
                <c:pt idx="99">
                  <c:v>24</c:v>
                </c:pt>
                <c:pt idx="10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0-4532-B753-EB254F946624}"/>
            </c:ext>
          </c:extLst>
        </c:ser>
        <c:ser>
          <c:idx val="3"/>
          <c:order val="3"/>
          <c:tx>
            <c:strRef>
              <c:f>Problem3!$M$58</c:f>
              <c:strCache>
                <c:ptCount val="1"/>
                <c:pt idx="0">
                  <c:v>10 x Digital-125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Problem3!$I$59:$I$159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124.99</c:v>
                </c:pt>
                <c:pt idx="25">
                  <c:v>125</c:v>
                </c:pt>
                <c:pt idx="26">
                  <c:v>125.01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174.99</c:v>
                </c:pt>
                <c:pt idx="75">
                  <c:v>175</c:v>
                </c:pt>
                <c:pt idx="76">
                  <c:v>175.01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Problem3!$M$59:$M$159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0-4532-B753-EB254F946624}"/>
            </c:ext>
          </c:extLst>
        </c:ser>
        <c:ser>
          <c:idx val="4"/>
          <c:order val="4"/>
          <c:tx>
            <c:strRef>
              <c:f>Problem3!$N$58</c:f>
              <c:strCache>
                <c:ptCount val="1"/>
                <c:pt idx="0">
                  <c:v>-10 x Digital-175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Problem3!$I$59:$I$159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124.99</c:v>
                </c:pt>
                <c:pt idx="25">
                  <c:v>125</c:v>
                </c:pt>
                <c:pt idx="26">
                  <c:v>125.01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174.99</c:v>
                </c:pt>
                <c:pt idx="75">
                  <c:v>175</c:v>
                </c:pt>
                <c:pt idx="76">
                  <c:v>175.01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Problem3!$N$59:$N$159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0-4532-B753-EB254F946624}"/>
            </c:ext>
          </c:extLst>
        </c:ser>
        <c:ser>
          <c:idx val="5"/>
          <c:order val="5"/>
          <c:tx>
            <c:strRef>
              <c:f>Problem3!$O$58</c:f>
              <c:strCache>
                <c:ptCount val="1"/>
                <c:pt idx="0">
                  <c:v>Total</c:v>
                </c:pt>
              </c:strCache>
            </c:strRef>
          </c:tx>
          <c:spPr>
            <a:ln w="63500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Problem3!$I$59:$I$159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124.99</c:v>
                </c:pt>
                <c:pt idx="25">
                  <c:v>125</c:v>
                </c:pt>
                <c:pt idx="26">
                  <c:v>125.01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174.99</c:v>
                </c:pt>
                <c:pt idx="75">
                  <c:v>175</c:v>
                </c:pt>
                <c:pt idx="76">
                  <c:v>175.01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Problem3!$O$59:$O$159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10.010000000000005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34</c:v>
                </c:pt>
                <c:pt idx="52">
                  <c:v>33</c:v>
                </c:pt>
                <c:pt idx="53">
                  <c:v>32</c:v>
                </c:pt>
                <c:pt idx="54">
                  <c:v>31</c:v>
                </c:pt>
                <c:pt idx="55">
                  <c:v>30</c:v>
                </c:pt>
                <c:pt idx="56">
                  <c:v>29</c:v>
                </c:pt>
                <c:pt idx="57">
                  <c:v>28</c:v>
                </c:pt>
                <c:pt idx="58">
                  <c:v>27</c:v>
                </c:pt>
                <c:pt idx="59">
                  <c:v>26</c:v>
                </c:pt>
                <c:pt idx="60">
                  <c:v>25</c:v>
                </c:pt>
                <c:pt idx="61">
                  <c:v>24</c:v>
                </c:pt>
                <c:pt idx="62">
                  <c:v>23</c:v>
                </c:pt>
                <c:pt idx="63">
                  <c:v>22</c:v>
                </c:pt>
                <c:pt idx="64">
                  <c:v>21</c:v>
                </c:pt>
                <c:pt idx="65">
                  <c:v>20</c:v>
                </c:pt>
                <c:pt idx="66">
                  <c:v>19</c:v>
                </c:pt>
                <c:pt idx="67">
                  <c:v>18</c:v>
                </c:pt>
                <c:pt idx="68">
                  <c:v>17</c:v>
                </c:pt>
                <c:pt idx="69">
                  <c:v>16</c:v>
                </c:pt>
                <c:pt idx="70">
                  <c:v>15</c:v>
                </c:pt>
                <c:pt idx="71">
                  <c:v>14</c:v>
                </c:pt>
                <c:pt idx="72">
                  <c:v>13</c:v>
                </c:pt>
                <c:pt idx="73">
                  <c:v>12</c:v>
                </c:pt>
                <c:pt idx="74">
                  <c:v>10.009999999999991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B0-4532-B753-EB254F946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93519"/>
        <c:axId val="473282959"/>
      </c:scatterChart>
      <c:valAx>
        <c:axId val="473293519"/>
        <c:scaling>
          <c:orientation val="minMax"/>
          <c:max val="18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82959"/>
        <c:crosses val="autoZero"/>
        <c:crossBetween val="midCat"/>
      </c:valAx>
      <c:valAx>
        <c:axId val="473282959"/>
        <c:scaling>
          <c:orientation val="minMax"/>
          <c:max val="4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9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Problem4!$K$35</c:f>
              <c:strCache>
                <c:ptCount val="1"/>
                <c:pt idx="0">
                  <c:v>Plain long Sp500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Problem4!$J$36:$J$76</c:f>
              <c:numCache>
                <c:formatCode>General</c:formatCode>
                <c:ptCount val="41"/>
                <c:pt idx="0">
                  <c:v>4000</c:v>
                </c:pt>
                <c:pt idx="1">
                  <c:v>4050</c:v>
                </c:pt>
                <c:pt idx="2">
                  <c:v>4100</c:v>
                </c:pt>
                <c:pt idx="3">
                  <c:v>4150</c:v>
                </c:pt>
                <c:pt idx="4">
                  <c:v>4200</c:v>
                </c:pt>
                <c:pt idx="5">
                  <c:v>4250</c:v>
                </c:pt>
                <c:pt idx="6">
                  <c:v>4300</c:v>
                </c:pt>
                <c:pt idx="7">
                  <c:v>4350</c:v>
                </c:pt>
                <c:pt idx="8">
                  <c:v>4400</c:v>
                </c:pt>
                <c:pt idx="9">
                  <c:v>4450</c:v>
                </c:pt>
                <c:pt idx="10">
                  <c:v>4500</c:v>
                </c:pt>
                <c:pt idx="11">
                  <c:v>4550</c:v>
                </c:pt>
                <c:pt idx="12">
                  <c:v>4600</c:v>
                </c:pt>
                <c:pt idx="13">
                  <c:v>4650</c:v>
                </c:pt>
                <c:pt idx="14">
                  <c:v>4700</c:v>
                </c:pt>
                <c:pt idx="15">
                  <c:v>4750</c:v>
                </c:pt>
                <c:pt idx="16">
                  <c:v>4800</c:v>
                </c:pt>
                <c:pt idx="17">
                  <c:v>4850</c:v>
                </c:pt>
                <c:pt idx="18">
                  <c:v>4900</c:v>
                </c:pt>
                <c:pt idx="19">
                  <c:v>4950</c:v>
                </c:pt>
                <c:pt idx="20">
                  <c:v>5000</c:v>
                </c:pt>
                <c:pt idx="21">
                  <c:v>5050</c:v>
                </c:pt>
                <c:pt idx="22">
                  <c:v>5100</c:v>
                </c:pt>
                <c:pt idx="23">
                  <c:v>5150</c:v>
                </c:pt>
                <c:pt idx="24">
                  <c:v>5200</c:v>
                </c:pt>
                <c:pt idx="25">
                  <c:v>5250</c:v>
                </c:pt>
                <c:pt idx="26">
                  <c:v>5300</c:v>
                </c:pt>
                <c:pt idx="27">
                  <c:v>5350</c:v>
                </c:pt>
                <c:pt idx="28">
                  <c:v>5400</c:v>
                </c:pt>
                <c:pt idx="29">
                  <c:v>5450</c:v>
                </c:pt>
                <c:pt idx="30">
                  <c:v>5500</c:v>
                </c:pt>
                <c:pt idx="31">
                  <c:v>5550</c:v>
                </c:pt>
                <c:pt idx="32">
                  <c:v>5600</c:v>
                </c:pt>
                <c:pt idx="33">
                  <c:v>5650</c:v>
                </c:pt>
                <c:pt idx="34">
                  <c:v>5700</c:v>
                </c:pt>
                <c:pt idx="35">
                  <c:v>5750</c:v>
                </c:pt>
                <c:pt idx="36">
                  <c:v>5800</c:v>
                </c:pt>
                <c:pt idx="37">
                  <c:v>5850</c:v>
                </c:pt>
                <c:pt idx="38">
                  <c:v>5900</c:v>
                </c:pt>
                <c:pt idx="39">
                  <c:v>5950</c:v>
                </c:pt>
                <c:pt idx="40">
                  <c:v>6000</c:v>
                </c:pt>
              </c:numCache>
            </c:numRef>
          </c:xVal>
          <c:yVal>
            <c:numRef>
              <c:f>Problem4!$K$36:$K$76</c:f>
              <c:numCache>
                <c:formatCode>General</c:formatCode>
                <c:ptCount val="41"/>
                <c:pt idx="0">
                  <c:v>-20000</c:v>
                </c:pt>
                <c:pt idx="1">
                  <c:v>-19000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0</c:v>
                </c:pt>
                <c:pt idx="21">
                  <c:v>1000</c:v>
                </c:pt>
                <c:pt idx="22">
                  <c:v>2000</c:v>
                </c:pt>
                <c:pt idx="23">
                  <c:v>3000</c:v>
                </c:pt>
                <c:pt idx="24">
                  <c:v>4000</c:v>
                </c:pt>
                <c:pt idx="25">
                  <c:v>5000</c:v>
                </c:pt>
                <c:pt idx="26">
                  <c:v>6000</c:v>
                </c:pt>
                <c:pt idx="27">
                  <c:v>7000</c:v>
                </c:pt>
                <c:pt idx="28">
                  <c:v>8000</c:v>
                </c:pt>
                <c:pt idx="29">
                  <c:v>9000</c:v>
                </c:pt>
                <c:pt idx="30">
                  <c:v>10000</c:v>
                </c:pt>
                <c:pt idx="31">
                  <c:v>11000</c:v>
                </c:pt>
                <c:pt idx="32">
                  <c:v>12000</c:v>
                </c:pt>
                <c:pt idx="33">
                  <c:v>13000</c:v>
                </c:pt>
                <c:pt idx="34">
                  <c:v>14000</c:v>
                </c:pt>
                <c:pt idx="35">
                  <c:v>15000</c:v>
                </c:pt>
                <c:pt idx="36">
                  <c:v>16000</c:v>
                </c:pt>
                <c:pt idx="37">
                  <c:v>17000</c:v>
                </c:pt>
                <c:pt idx="38">
                  <c:v>18000</c:v>
                </c:pt>
                <c:pt idx="39">
                  <c:v>19000</c:v>
                </c:pt>
                <c:pt idx="40">
                  <c:v>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F-48D3-8001-F6F4117736EB}"/>
            </c:ext>
          </c:extLst>
        </c:ser>
        <c:ser>
          <c:idx val="1"/>
          <c:order val="1"/>
          <c:tx>
            <c:strRef>
              <c:f>Problem4!$L$35</c:f>
              <c:strCache>
                <c:ptCount val="1"/>
                <c:pt idx="0">
                  <c:v>Risk-free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Problem4!$J$36:$J$76</c:f>
              <c:numCache>
                <c:formatCode>General</c:formatCode>
                <c:ptCount val="41"/>
                <c:pt idx="0">
                  <c:v>4000</c:v>
                </c:pt>
                <c:pt idx="1">
                  <c:v>4050</c:v>
                </c:pt>
                <c:pt idx="2">
                  <c:v>4100</c:v>
                </c:pt>
                <c:pt idx="3">
                  <c:v>4150</c:v>
                </c:pt>
                <c:pt idx="4">
                  <c:v>4200</c:v>
                </c:pt>
                <c:pt idx="5">
                  <c:v>4250</c:v>
                </c:pt>
                <c:pt idx="6">
                  <c:v>4300</c:v>
                </c:pt>
                <c:pt idx="7">
                  <c:v>4350</c:v>
                </c:pt>
                <c:pt idx="8">
                  <c:v>4400</c:v>
                </c:pt>
                <c:pt idx="9">
                  <c:v>4450</c:v>
                </c:pt>
                <c:pt idx="10">
                  <c:v>4500</c:v>
                </c:pt>
                <c:pt idx="11">
                  <c:v>4550</c:v>
                </c:pt>
                <c:pt idx="12">
                  <c:v>4600</c:v>
                </c:pt>
                <c:pt idx="13">
                  <c:v>4650</c:v>
                </c:pt>
                <c:pt idx="14">
                  <c:v>4700</c:v>
                </c:pt>
                <c:pt idx="15">
                  <c:v>4750</c:v>
                </c:pt>
                <c:pt idx="16">
                  <c:v>4800</c:v>
                </c:pt>
                <c:pt idx="17">
                  <c:v>4850</c:v>
                </c:pt>
                <c:pt idx="18">
                  <c:v>4900</c:v>
                </c:pt>
                <c:pt idx="19">
                  <c:v>4950</c:v>
                </c:pt>
                <c:pt idx="20">
                  <c:v>5000</c:v>
                </c:pt>
                <c:pt idx="21">
                  <c:v>5050</c:v>
                </c:pt>
                <c:pt idx="22">
                  <c:v>5100</c:v>
                </c:pt>
                <c:pt idx="23">
                  <c:v>5150</c:v>
                </c:pt>
                <c:pt idx="24">
                  <c:v>5200</c:v>
                </c:pt>
                <c:pt idx="25">
                  <c:v>5250</c:v>
                </c:pt>
                <c:pt idx="26">
                  <c:v>5300</c:v>
                </c:pt>
                <c:pt idx="27">
                  <c:v>5350</c:v>
                </c:pt>
                <c:pt idx="28">
                  <c:v>5400</c:v>
                </c:pt>
                <c:pt idx="29">
                  <c:v>5450</c:v>
                </c:pt>
                <c:pt idx="30">
                  <c:v>5500</c:v>
                </c:pt>
                <c:pt idx="31">
                  <c:v>5550</c:v>
                </c:pt>
                <c:pt idx="32">
                  <c:v>5600</c:v>
                </c:pt>
                <c:pt idx="33">
                  <c:v>5650</c:v>
                </c:pt>
                <c:pt idx="34">
                  <c:v>5700</c:v>
                </c:pt>
                <c:pt idx="35">
                  <c:v>5750</c:v>
                </c:pt>
                <c:pt idx="36">
                  <c:v>5800</c:v>
                </c:pt>
                <c:pt idx="37">
                  <c:v>5850</c:v>
                </c:pt>
                <c:pt idx="38">
                  <c:v>5900</c:v>
                </c:pt>
                <c:pt idx="39">
                  <c:v>5950</c:v>
                </c:pt>
                <c:pt idx="40">
                  <c:v>6000</c:v>
                </c:pt>
              </c:numCache>
            </c:numRef>
          </c:xVal>
          <c:yVal>
            <c:numRef>
              <c:f>Problem4!$L$36:$L$76</c:f>
              <c:numCache>
                <c:formatCode>#,##0</c:formatCode>
                <c:ptCount val="41"/>
                <c:pt idx="0">
                  <c:v>-4000</c:v>
                </c:pt>
                <c:pt idx="1">
                  <c:v>-4000</c:v>
                </c:pt>
                <c:pt idx="2">
                  <c:v>-4000</c:v>
                </c:pt>
                <c:pt idx="3">
                  <c:v>-4000</c:v>
                </c:pt>
                <c:pt idx="4">
                  <c:v>-4000</c:v>
                </c:pt>
                <c:pt idx="5">
                  <c:v>-4000</c:v>
                </c:pt>
                <c:pt idx="6">
                  <c:v>-4000</c:v>
                </c:pt>
                <c:pt idx="7">
                  <c:v>-4000</c:v>
                </c:pt>
                <c:pt idx="8">
                  <c:v>-4000</c:v>
                </c:pt>
                <c:pt idx="9">
                  <c:v>-4000</c:v>
                </c:pt>
                <c:pt idx="10">
                  <c:v>-4000</c:v>
                </c:pt>
                <c:pt idx="11">
                  <c:v>-4000</c:v>
                </c:pt>
                <c:pt idx="12">
                  <c:v>-4000</c:v>
                </c:pt>
                <c:pt idx="13">
                  <c:v>-4000</c:v>
                </c:pt>
                <c:pt idx="14">
                  <c:v>-4000</c:v>
                </c:pt>
                <c:pt idx="15">
                  <c:v>-4000</c:v>
                </c:pt>
                <c:pt idx="16">
                  <c:v>-4000</c:v>
                </c:pt>
                <c:pt idx="17">
                  <c:v>-4000</c:v>
                </c:pt>
                <c:pt idx="18">
                  <c:v>-4000</c:v>
                </c:pt>
                <c:pt idx="19">
                  <c:v>-4000</c:v>
                </c:pt>
                <c:pt idx="20">
                  <c:v>-4000</c:v>
                </c:pt>
                <c:pt idx="21">
                  <c:v>-4000</c:v>
                </c:pt>
                <c:pt idx="22">
                  <c:v>-4000</c:v>
                </c:pt>
                <c:pt idx="23">
                  <c:v>-4000</c:v>
                </c:pt>
                <c:pt idx="24">
                  <c:v>-4000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-4000</c:v>
                </c:pt>
                <c:pt idx="39">
                  <c:v>-4000</c:v>
                </c:pt>
                <c:pt idx="40">
                  <c:v>-4000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4F-48D3-8001-F6F4117736EB}"/>
            </c:ext>
          </c:extLst>
        </c:ser>
        <c:ser>
          <c:idx val="2"/>
          <c:order val="2"/>
          <c:tx>
            <c:strRef>
              <c:f>Problem4!$M$35</c:f>
              <c:strCache>
                <c:ptCount val="1"/>
                <c:pt idx="0">
                  <c:v>Long Calls-4800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Problem4!$J$36:$J$76</c:f>
              <c:numCache>
                <c:formatCode>General</c:formatCode>
                <c:ptCount val="41"/>
                <c:pt idx="0">
                  <c:v>4000</c:v>
                </c:pt>
                <c:pt idx="1">
                  <c:v>4050</c:v>
                </c:pt>
                <c:pt idx="2">
                  <c:v>4100</c:v>
                </c:pt>
                <c:pt idx="3">
                  <c:v>4150</c:v>
                </c:pt>
                <c:pt idx="4">
                  <c:v>4200</c:v>
                </c:pt>
                <c:pt idx="5">
                  <c:v>4250</c:v>
                </c:pt>
                <c:pt idx="6">
                  <c:v>4300</c:v>
                </c:pt>
                <c:pt idx="7">
                  <c:v>4350</c:v>
                </c:pt>
                <c:pt idx="8">
                  <c:v>4400</c:v>
                </c:pt>
                <c:pt idx="9">
                  <c:v>4450</c:v>
                </c:pt>
                <c:pt idx="10">
                  <c:v>4500</c:v>
                </c:pt>
                <c:pt idx="11">
                  <c:v>4550</c:v>
                </c:pt>
                <c:pt idx="12">
                  <c:v>4600</c:v>
                </c:pt>
                <c:pt idx="13">
                  <c:v>4650</c:v>
                </c:pt>
                <c:pt idx="14">
                  <c:v>4700</c:v>
                </c:pt>
                <c:pt idx="15">
                  <c:v>4750</c:v>
                </c:pt>
                <c:pt idx="16">
                  <c:v>4800</c:v>
                </c:pt>
                <c:pt idx="17">
                  <c:v>4850</c:v>
                </c:pt>
                <c:pt idx="18">
                  <c:v>4900</c:v>
                </c:pt>
                <c:pt idx="19">
                  <c:v>4950</c:v>
                </c:pt>
                <c:pt idx="20">
                  <c:v>5000</c:v>
                </c:pt>
                <c:pt idx="21">
                  <c:v>5050</c:v>
                </c:pt>
                <c:pt idx="22">
                  <c:v>5100</c:v>
                </c:pt>
                <c:pt idx="23">
                  <c:v>5150</c:v>
                </c:pt>
                <c:pt idx="24">
                  <c:v>5200</c:v>
                </c:pt>
                <c:pt idx="25">
                  <c:v>5250</c:v>
                </c:pt>
                <c:pt idx="26">
                  <c:v>5300</c:v>
                </c:pt>
                <c:pt idx="27">
                  <c:v>5350</c:v>
                </c:pt>
                <c:pt idx="28">
                  <c:v>5400</c:v>
                </c:pt>
                <c:pt idx="29">
                  <c:v>5450</c:v>
                </c:pt>
                <c:pt idx="30">
                  <c:v>5500</c:v>
                </c:pt>
                <c:pt idx="31">
                  <c:v>5550</c:v>
                </c:pt>
                <c:pt idx="32">
                  <c:v>5600</c:v>
                </c:pt>
                <c:pt idx="33">
                  <c:v>5650</c:v>
                </c:pt>
                <c:pt idx="34">
                  <c:v>5700</c:v>
                </c:pt>
                <c:pt idx="35">
                  <c:v>5750</c:v>
                </c:pt>
                <c:pt idx="36">
                  <c:v>5800</c:v>
                </c:pt>
                <c:pt idx="37">
                  <c:v>5850</c:v>
                </c:pt>
                <c:pt idx="38">
                  <c:v>5900</c:v>
                </c:pt>
                <c:pt idx="39">
                  <c:v>5950</c:v>
                </c:pt>
                <c:pt idx="40">
                  <c:v>6000</c:v>
                </c:pt>
              </c:numCache>
            </c:numRef>
          </c:xVal>
          <c:yVal>
            <c:numRef>
              <c:f>Problem4!$M$36:$M$76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11000</c:v>
                </c:pt>
                <c:pt idx="28">
                  <c:v>12000</c:v>
                </c:pt>
                <c:pt idx="29">
                  <c:v>13000</c:v>
                </c:pt>
                <c:pt idx="30">
                  <c:v>14000</c:v>
                </c:pt>
                <c:pt idx="31">
                  <c:v>15000</c:v>
                </c:pt>
                <c:pt idx="32">
                  <c:v>16000</c:v>
                </c:pt>
                <c:pt idx="33">
                  <c:v>17000</c:v>
                </c:pt>
                <c:pt idx="34">
                  <c:v>18000</c:v>
                </c:pt>
                <c:pt idx="35">
                  <c:v>19000</c:v>
                </c:pt>
                <c:pt idx="36">
                  <c:v>20000</c:v>
                </c:pt>
                <c:pt idx="37">
                  <c:v>21000</c:v>
                </c:pt>
                <c:pt idx="38">
                  <c:v>22000</c:v>
                </c:pt>
                <c:pt idx="39">
                  <c:v>23000</c:v>
                </c:pt>
                <c:pt idx="40">
                  <c:v>24000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4F-48D3-8001-F6F4117736EB}"/>
            </c:ext>
          </c:extLst>
        </c:ser>
        <c:ser>
          <c:idx val="3"/>
          <c:order val="3"/>
          <c:tx>
            <c:strRef>
              <c:f>Problem4!$N$35</c:f>
              <c:strCache>
                <c:ptCount val="1"/>
                <c:pt idx="0">
                  <c:v>Short Calls-5000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Problem4!$J$36:$J$76</c:f>
              <c:numCache>
                <c:formatCode>General</c:formatCode>
                <c:ptCount val="41"/>
                <c:pt idx="0">
                  <c:v>4000</c:v>
                </c:pt>
                <c:pt idx="1">
                  <c:v>4050</c:v>
                </c:pt>
                <c:pt idx="2">
                  <c:v>4100</c:v>
                </c:pt>
                <c:pt idx="3">
                  <c:v>4150</c:v>
                </c:pt>
                <c:pt idx="4">
                  <c:v>4200</c:v>
                </c:pt>
                <c:pt idx="5">
                  <c:v>4250</c:v>
                </c:pt>
                <c:pt idx="6">
                  <c:v>4300</c:v>
                </c:pt>
                <c:pt idx="7">
                  <c:v>4350</c:v>
                </c:pt>
                <c:pt idx="8">
                  <c:v>4400</c:v>
                </c:pt>
                <c:pt idx="9">
                  <c:v>4450</c:v>
                </c:pt>
                <c:pt idx="10">
                  <c:v>4500</c:v>
                </c:pt>
                <c:pt idx="11">
                  <c:v>4550</c:v>
                </c:pt>
                <c:pt idx="12">
                  <c:v>4600</c:v>
                </c:pt>
                <c:pt idx="13">
                  <c:v>4650</c:v>
                </c:pt>
                <c:pt idx="14">
                  <c:v>4700</c:v>
                </c:pt>
                <c:pt idx="15">
                  <c:v>4750</c:v>
                </c:pt>
                <c:pt idx="16">
                  <c:v>4800</c:v>
                </c:pt>
                <c:pt idx="17">
                  <c:v>4850</c:v>
                </c:pt>
                <c:pt idx="18">
                  <c:v>4900</c:v>
                </c:pt>
                <c:pt idx="19">
                  <c:v>4950</c:v>
                </c:pt>
                <c:pt idx="20">
                  <c:v>5000</c:v>
                </c:pt>
                <c:pt idx="21">
                  <c:v>5050</c:v>
                </c:pt>
                <c:pt idx="22">
                  <c:v>5100</c:v>
                </c:pt>
                <c:pt idx="23">
                  <c:v>5150</c:v>
                </c:pt>
                <c:pt idx="24">
                  <c:v>5200</c:v>
                </c:pt>
                <c:pt idx="25">
                  <c:v>5250</c:v>
                </c:pt>
                <c:pt idx="26">
                  <c:v>5300</c:v>
                </c:pt>
                <c:pt idx="27">
                  <c:v>5350</c:v>
                </c:pt>
                <c:pt idx="28">
                  <c:v>5400</c:v>
                </c:pt>
                <c:pt idx="29">
                  <c:v>5450</c:v>
                </c:pt>
                <c:pt idx="30">
                  <c:v>5500</c:v>
                </c:pt>
                <c:pt idx="31">
                  <c:v>5550</c:v>
                </c:pt>
                <c:pt idx="32">
                  <c:v>5600</c:v>
                </c:pt>
                <c:pt idx="33">
                  <c:v>5650</c:v>
                </c:pt>
                <c:pt idx="34">
                  <c:v>5700</c:v>
                </c:pt>
                <c:pt idx="35">
                  <c:v>5750</c:v>
                </c:pt>
                <c:pt idx="36">
                  <c:v>5800</c:v>
                </c:pt>
                <c:pt idx="37">
                  <c:v>5850</c:v>
                </c:pt>
                <c:pt idx="38">
                  <c:v>5900</c:v>
                </c:pt>
                <c:pt idx="39">
                  <c:v>5950</c:v>
                </c:pt>
                <c:pt idx="40">
                  <c:v>6000</c:v>
                </c:pt>
              </c:numCache>
            </c:numRef>
          </c:xVal>
          <c:yVal>
            <c:numRef>
              <c:f>Problem4!$N$36:$N$76</c:f>
              <c:numCache>
                <c:formatCode>#,##0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-400.89890858197458</c:v>
                </c:pt>
                <c:pt idx="22">
                  <c:v>-801.79781716394916</c:v>
                </c:pt>
                <c:pt idx="23">
                  <c:v>-1202.6967257459237</c:v>
                </c:pt>
                <c:pt idx="24">
                  <c:v>-1603.5956343278983</c:v>
                </c:pt>
                <c:pt idx="25">
                  <c:v>-2004.4945429098727</c:v>
                </c:pt>
                <c:pt idx="26">
                  <c:v>-2405.3934514918474</c:v>
                </c:pt>
                <c:pt idx="27">
                  <c:v>-2806.2923600738218</c:v>
                </c:pt>
                <c:pt idx="28">
                  <c:v>-3207.1912686557966</c:v>
                </c:pt>
                <c:pt idx="29">
                  <c:v>-3608.0901772377711</c:v>
                </c:pt>
                <c:pt idx="30">
                  <c:v>-4008.9890858197455</c:v>
                </c:pt>
                <c:pt idx="31">
                  <c:v>-4409.8879944017199</c:v>
                </c:pt>
                <c:pt idx="32">
                  <c:v>-4810.7869029836947</c:v>
                </c:pt>
                <c:pt idx="33">
                  <c:v>-5211.6858115656696</c:v>
                </c:pt>
                <c:pt idx="34">
                  <c:v>-5612.5847201476436</c:v>
                </c:pt>
                <c:pt idx="35">
                  <c:v>-6013.4836287296184</c:v>
                </c:pt>
                <c:pt idx="36">
                  <c:v>-6414.3825373115933</c:v>
                </c:pt>
                <c:pt idx="37">
                  <c:v>-6815.2814458935673</c:v>
                </c:pt>
                <c:pt idx="38">
                  <c:v>-7216.1803544755421</c:v>
                </c:pt>
                <c:pt idx="39">
                  <c:v>-7617.079263057517</c:v>
                </c:pt>
                <c:pt idx="40">
                  <c:v>-8017.9781716394909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4F-48D3-8001-F6F4117736EB}"/>
            </c:ext>
          </c:extLst>
        </c:ser>
        <c:ser>
          <c:idx val="4"/>
          <c:order val="4"/>
          <c:tx>
            <c:strRef>
              <c:f>Problem4!$O$35</c:f>
              <c:strCache>
                <c:ptCount val="1"/>
                <c:pt idx="0">
                  <c:v>Structured note</c:v>
                </c:pt>
              </c:strCache>
            </c:strRef>
          </c:tx>
          <c:spPr>
            <a:ln w="63500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Problem4!$J$36:$J$76</c:f>
              <c:numCache>
                <c:formatCode>General</c:formatCode>
                <c:ptCount val="41"/>
                <c:pt idx="0">
                  <c:v>4000</c:v>
                </c:pt>
                <c:pt idx="1">
                  <c:v>4050</c:v>
                </c:pt>
                <c:pt idx="2">
                  <c:v>4100</c:v>
                </c:pt>
                <c:pt idx="3">
                  <c:v>4150</c:v>
                </c:pt>
                <c:pt idx="4">
                  <c:v>4200</c:v>
                </c:pt>
                <c:pt idx="5">
                  <c:v>4250</c:v>
                </c:pt>
                <c:pt idx="6">
                  <c:v>4300</c:v>
                </c:pt>
                <c:pt idx="7">
                  <c:v>4350</c:v>
                </c:pt>
                <c:pt idx="8">
                  <c:v>4400</c:v>
                </c:pt>
                <c:pt idx="9">
                  <c:v>4450</c:v>
                </c:pt>
                <c:pt idx="10">
                  <c:v>4500</c:v>
                </c:pt>
                <c:pt idx="11">
                  <c:v>4550</c:v>
                </c:pt>
                <c:pt idx="12">
                  <c:v>4600</c:v>
                </c:pt>
                <c:pt idx="13">
                  <c:v>4650</c:v>
                </c:pt>
                <c:pt idx="14">
                  <c:v>4700</c:v>
                </c:pt>
                <c:pt idx="15">
                  <c:v>4750</c:v>
                </c:pt>
                <c:pt idx="16">
                  <c:v>4800</c:v>
                </c:pt>
                <c:pt idx="17">
                  <c:v>4850</c:v>
                </c:pt>
                <c:pt idx="18">
                  <c:v>4900</c:v>
                </c:pt>
                <c:pt idx="19">
                  <c:v>4950</c:v>
                </c:pt>
                <c:pt idx="20">
                  <c:v>5000</c:v>
                </c:pt>
                <c:pt idx="21">
                  <c:v>5050</c:v>
                </c:pt>
                <c:pt idx="22">
                  <c:v>5100</c:v>
                </c:pt>
                <c:pt idx="23">
                  <c:v>5150</c:v>
                </c:pt>
                <c:pt idx="24">
                  <c:v>5200</c:v>
                </c:pt>
                <c:pt idx="25">
                  <c:v>5250</c:v>
                </c:pt>
                <c:pt idx="26">
                  <c:v>5300</c:v>
                </c:pt>
                <c:pt idx="27">
                  <c:v>5350</c:v>
                </c:pt>
                <c:pt idx="28">
                  <c:v>5400</c:v>
                </c:pt>
                <c:pt idx="29">
                  <c:v>5450</c:v>
                </c:pt>
                <c:pt idx="30">
                  <c:v>5500</c:v>
                </c:pt>
                <c:pt idx="31">
                  <c:v>5550</c:v>
                </c:pt>
                <c:pt idx="32">
                  <c:v>5600</c:v>
                </c:pt>
                <c:pt idx="33">
                  <c:v>5650</c:v>
                </c:pt>
                <c:pt idx="34">
                  <c:v>5700</c:v>
                </c:pt>
                <c:pt idx="35">
                  <c:v>5750</c:v>
                </c:pt>
                <c:pt idx="36">
                  <c:v>5800</c:v>
                </c:pt>
                <c:pt idx="37">
                  <c:v>5850</c:v>
                </c:pt>
                <c:pt idx="38">
                  <c:v>5900</c:v>
                </c:pt>
                <c:pt idx="39">
                  <c:v>5950</c:v>
                </c:pt>
                <c:pt idx="40">
                  <c:v>6000</c:v>
                </c:pt>
              </c:numCache>
            </c:numRef>
          </c:xVal>
          <c:yVal>
            <c:numRef>
              <c:f>Problem4!$O$36:$O$76</c:f>
              <c:numCache>
                <c:formatCode>#,##0</c:formatCode>
                <c:ptCount val="41"/>
                <c:pt idx="0">
                  <c:v>-4000</c:v>
                </c:pt>
                <c:pt idx="1">
                  <c:v>-4000</c:v>
                </c:pt>
                <c:pt idx="2">
                  <c:v>-4000</c:v>
                </c:pt>
                <c:pt idx="3">
                  <c:v>-4000</c:v>
                </c:pt>
                <c:pt idx="4">
                  <c:v>-4000</c:v>
                </c:pt>
                <c:pt idx="5">
                  <c:v>-4000</c:v>
                </c:pt>
                <c:pt idx="6">
                  <c:v>-4000</c:v>
                </c:pt>
                <c:pt idx="7">
                  <c:v>-4000</c:v>
                </c:pt>
                <c:pt idx="8">
                  <c:v>-4000</c:v>
                </c:pt>
                <c:pt idx="9">
                  <c:v>-4000</c:v>
                </c:pt>
                <c:pt idx="10">
                  <c:v>-4000</c:v>
                </c:pt>
                <c:pt idx="11">
                  <c:v>-4000</c:v>
                </c:pt>
                <c:pt idx="12">
                  <c:v>-4000</c:v>
                </c:pt>
                <c:pt idx="13">
                  <c:v>-4000</c:v>
                </c:pt>
                <c:pt idx="14">
                  <c:v>-4000</c:v>
                </c:pt>
                <c:pt idx="15">
                  <c:v>-4000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0</c:v>
                </c:pt>
                <c:pt idx="21">
                  <c:v>599.10109141802536</c:v>
                </c:pt>
                <c:pt idx="22">
                  <c:v>1198.2021828360507</c:v>
                </c:pt>
                <c:pt idx="23">
                  <c:v>1797.3032742540763</c:v>
                </c:pt>
                <c:pt idx="24">
                  <c:v>2396.4043656721014</c:v>
                </c:pt>
                <c:pt idx="25">
                  <c:v>2995.5054570901275</c:v>
                </c:pt>
                <c:pt idx="26">
                  <c:v>3594.6065485081526</c:v>
                </c:pt>
                <c:pt idx="27">
                  <c:v>4193.7076399261787</c:v>
                </c:pt>
                <c:pt idx="28">
                  <c:v>4792.8087313442029</c:v>
                </c:pt>
                <c:pt idx="29">
                  <c:v>5391.9098227622289</c:v>
                </c:pt>
                <c:pt idx="30">
                  <c:v>5991.010914180255</c:v>
                </c:pt>
                <c:pt idx="31">
                  <c:v>6590.1120055982801</c:v>
                </c:pt>
                <c:pt idx="32">
                  <c:v>7189.2130970163053</c:v>
                </c:pt>
                <c:pt idx="33">
                  <c:v>7788.3141884343304</c:v>
                </c:pt>
                <c:pt idx="34">
                  <c:v>8387.4152798523573</c:v>
                </c:pt>
                <c:pt idx="35">
                  <c:v>8986.5163712703816</c:v>
                </c:pt>
                <c:pt idx="36">
                  <c:v>9585.6174626884058</c:v>
                </c:pt>
                <c:pt idx="37">
                  <c:v>10184.718554106432</c:v>
                </c:pt>
                <c:pt idx="38">
                  <c:v>10783.819645524458</c:v>
                </c:pt>
                <c:pt idx="39">
                  <c:v>11382.920736942484</c:v>
                </c:pt>
                <c:pt idx="40">
                  <c:v>11982.02182836051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4F-48D3-8001-F6F411773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4191"/>
        <c:axId val="448905631"/>
      </c:scatterChart>
      <c:valAx>
        <c:axId val="448904191"/>
        <c:scaling>
          <c:orientation val="minMax"/>
          <c:max val="6000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05631"/>
        <c:crosses val="autoZero"/>
        <c:crossBetween val="midCat"/>
      </c:valAx>
      <c:valAx>
        <c:axId val="4489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0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9</xdr:row>
      <xdr:rowOff>76200</xdr:rowOff>
    </xdr:from>
    <xdr:to>
      <xdr:col>8</xdr:col>
      <xdr:colOff>30904</xdr:colOff>
      <xdr:row>19</xdr:row>
      <xdr:rowOff>144944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B26041-F231-972C-5FBB-E92E007E7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1722120"/>
          <a:ext cx="4892464" cy="1897544"/>
        </a:xfrm>
        <a:prstGeom prst="rect">
          <a:avLst/>
        </a:prstGeom>
      </xdr:spPr>
    </xdr:pic>
    <xdr:clientData/>
  </xdr:twoCellAnchor>
  <xdr:twoCellAnchor>
    <xdr:from>
      <xdr:col>8</xdr:col>
      <xdr:colOff>22860</xdr:colOff>
      <xdr:row>58</xdr:row>
      <xdr:rowOff>80010</xdr:rowOff>
    </xdr:from>
    <xdr:to>
      <xdr:col>17</xdr:col>
      <xdr:colOff>388620</xdr:colOff>
      <xdr:row>76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9887C9-4574-2574-A694-CC89EF31A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16136</xdr:colOff>
      <xdr:row>35</xdr:row>
      <xdr:rowOff>7844</xdr:rowOff>
    </xdr:from>
    <xdr:to>
      <xdr:col>20</xdr:col>
      <xdr:colOff>473336</xdr:colOff>
      <xdr:row>65</xdr:row>
      <xdr:rowOff>174364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6CEED-A809-9C18-C5A7-5F7E6A82C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63168-029A-4B47-9E14-43A6FE4A8F24}">
  <dimension ref="A1:O88"/>
  <sheetViews>
    <sheetView tabSelected="1" workbookViewId="0">
      <selection activeCell="A87" sqref="A87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</row>
    <row r="3" spans="1:4" x14ac:dyDescent="0.3">
      <c r="A3" t="s">
        <v>2</v>
      </c>
    </row>
    <row r="4" spans="1:4" x14ac:dyDescent="0.3">
      <c r="A4" t="s">
        <v>3</v>
      </c>
    </row>
    <row r="5" spans="1:4" x14ac:dyDescent="0.3">
      <c r="A5" s="1" t="s">
        <v>4</v>
      </c>
      <c r="B5" s="1"/>
      <c r="C5" s="1"/>
      <c r="D5" t="s">
        <v>8</v>
      </c>
    </row>
    <row r="6" spans="1:4" x14ac:dyDescent="0.3">
      <c r="A6" t="s">
        <v>5</v>
      </c>
    </row>
    <row r="7" spans="1:4" x14ac:dyDescent="0.3">
      <c r="A7" t="s">
        <v>6</v>
      </c>
    </row>
    <row r="8" spans="1:4" x14ac:dyDescent="0.3">
      <c r="A8" t="s">
        <v>7</v>
      </c>
    </row>
    <row r="10" spans="1:4" x14ac:dyDescent="0.3">
      <c r="A10" t="s">
        <v>9</v>
      </c>
    </row>
    <row r="11" spans="1:4" x14ac:dyDescent="0.3">
      <c r="A11" t="s">
        <v>10</v>
      </c>
    </row>
    <row r="12" spans="1:4" x14ac:dyDescent="0.3">
      <c r="A12" t="s">
        <v>11</v>
      </c>
    </row>
    <row r="13" spans="1:4" x14ac:dyDescent="0.3">
      <c r="A13" t="s">
        <v>12</v>
      </c>
    </row>
    <row r="14" spans="1:4" x14ac:dyDescent="0.3">
      <c r="A14" t="s">
        <v>13</v>
      </c>
    </row>
    <row r="15" spans="1:4" x14ac:dyDescent="0.3">
      <c r="A15" s="1" t="s">
        <v>14</v>
      </c>
      <c r="C15" t="s">
        <v>17</v>
      </c>
    </row>
    <row r="16" spans="1:4" x14ac:dyDescent="0.3">
      <c r="A16" t="s">
        <v>15</v>
      </c>
    </row>
    <row r="17" spans="1:3" x14ac:dyDescent="0.3">
      <c r="A17" t="s">
        <v>16</v>
      </c>
    </row>
    <row r="19" spans="1:3" x14ac:dyDescent="0.3">
      <c r="A19" t="s">
        <v>18</v>
      </c>
    </row>
    <row r="20" spans="1:3" x14ac:dyDescent="0.3">
      <c r="A20" t="s">
        <v>19</v>
      </c>
    </row>
    <row r="21" spans="1:3" x14ac:dyDescent="0.3">
      <c r="A21" t="s">
        <v>20</v>
      </c>
    </row>
    <row r="22" spans="1:3" x14ac:dyDescent="0.3">
      <c r="A22" t="s">
        <v>21</v>
      </c>
    </row>
    <row r="23" spans="1:3" x14ac:dyDescent="0.3">
      <c r="A23" t="s">
        <v>22</v>
      </c>
    </row>
    <row r="24" spans="1:3" x14ac:dyDescent="0.3">
      <c r="A24" s="1" t="s">
        <v>23</v>
      </c>
      <c r="C24" t="s">
        <v>26</v>
      </c>
    </row>
    <row r="25" spans="1:3" x14ac:dyDescent="0.3">
      <c r="A25" t="s">
        <v>24</v>
      </c>
    </row>
    <row r="26" spans="1:3" x14ac:dyDescent="0.3">
      <c r="A26" t="s">
        <v>25</v>
      </c>
    </row>
    <row r="28" spans="1:3" x14ac:dyDescent="0.3">
      <c r="A28" t="s">
        <v>27</v>
      </c>
    </row>
    <row r="29" spans="1:3" x14ac:dyDescent="0.3">
      <c r="A29" t="s">
        <v>28</v>
      </c>
    </row>
    <row r="30" spans="1:3" x14ac:dyDescent="0.3">
      <c r="A30" t="s">
        <v>30</v>
      </c>
    </row>
    <row r="31" spans="1:3" x14ac:dyDescent="0.3">
      <c r="A31" t="s">
        <v>29</v>
      </c>
    </row>
    <row r="32" spans="1:3" x14ac:dyDescent="0.3">
      <c r="A32" t="s">
        <v>31</v>
      </c>
    </row>
    <row r="33" spans="1:12" x14ac:dyDescent="0.3">
      <c r="A33" s="1" t="s">
        <v>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2"/>
    </row>
    <row r="35" spans="1:12" x14ac:dyDescent="0.3">
      <c r="A35" t="s">
        <v>33</v>
      </c>
    </row>
    <row r="36" spans="1:12" x14ac:dyDescent="0.3">
      <c r="A36" t="s">
        <v>34</v>
      </c>
    </row>
    <row r="37" spans="1:12" x14ac:dyDescent="0.3">
      <c r="A37" t="s">
        <v>35</v>
      </c>
    </row>
    <row r="38" spans="1:12" x14ac:dyDescent="0.3">
      <c r="A38" s="1" t="s">
        <v>36</v>
      </c>
      <c r="B38" s="1"/>
      <c r="C38" s="1"/>
      <c r="D38" s="1"/>
      <c r="E38" s="1"/>
      <c r="F38" s="1"/>
    </row>
    <row r="39" spans="1:12" x14ac:dyDescent="0.3">
      <c r="A39" t="s">
        <v>37</v>
      </c>
    </row>
    <row r="40" spans="1:12" x14ac:dyDescent="0.3">
      <c r="A40" t="s">
        <v>38</v>
      </c>
    </row>
    <row r="42" spans="1:12" x14ac:dyDescent="0.3">
      <c r="A42" t="s">
        <v>39</v>
      </c>
    </row>
    <row r="43" spans="1:12" x14ac:dyDescent="0.3">
      <c r="A43" t="s">
        <v>40</v>
      </c>
    </row>
    <row r="44" spans="1:12" x14ac:dyDescent="0.3">
      <c r="A44" t="s">
        <v>41</v>
      </c>
    </row>
    <row r="45" spans="1:12" x14ac:dyDescent="0.3">
      <c r="A45" t="s">
        <v>42</v>
      </c>
    </row>
    <row r="46" spans="1:12" x14ac:dyDescent="0.3">
      <c r="A46" t="s">
        <v>43</v>
      </c>
    </row>
    <row r="47" spans="1:12" x14ac:dyDescent="0.3">
      <c r="A47" t="s">
        <v>44</v>
      </c>
    </row>
    <row r="48" spans="1:12" x14ac:dyDescent="0.3">
      <c r="A48" s="1" t="s">
        <v>45</v>
      </c>
      <c r="B48" s="1"/>
      <c r="C48" s="1"/>
      <c r="D48" s="1"/>
    </row>
    <row r="49" spans="1:4" x14ac:dyDescent="0.3">
      <c r="A49" t="s">
        <v>46</v>
      </c>
    </row>
    <row r="51" spans="1:4" x14ac:dyDescent="0.3">
      <c r="A51" t="s">
        <v>47</v>
      </c>
    </row>
    <row r="52" spans="1:4" x14ac:dyDescent="0.3">
      <c r="A52" t="s">
        <v>48</v>
      </c>
    </row>
    <row r="53" spans="1:4" x14ac:dyDescent="0.3">
      <c r="A53" t="s">
        <v>49</v>
      </c>
    </row>
    <row r="54" spans="1:4" x14ac:dyDescent="0.3">
      <c r="A54" t="s">
        <v>50</v>
      </c>
    </row>
    <row r="55" spans="1:4" x14ac:dyDescent="0.3">
      <c r="A55" t="s">
        <v>51</v>
      </c>
    </row>
    <row r="56" spans="1:4" x14ac:dyDescent="0.3">
      <c r="A56" t="s">
        <v>52</v>
      </c>
    </row>
    <row r="57" spans="1:4" x14ac:dyDescent="0.3">
      <c r="A57" s="1" t="s">
        <v>53</v>
      </c>
      <c r="B57" s="1"/>
      <c r="D57" t="s">
        <v>56</v>
      </c>
    </row>
    <row r="58" spans="1:4" x14ac:dyDescent="0.3">
      <c r="A58" t="s">
        <v>54</v>
      </c>
    </row>
    <row r="59" spans="1:4" x14ac:dyDescent="0.3">
      <c r="A59" t="s">
        <v>55</v>
      </c>
    </row>
    <row r="61" spans="1:4" x14ac:dyDescent="0.3">
      <c r="A61" t="s">
        <v>57</v>
      </c>
    </row>
    <row r="62" spans="1:4" x14ac:dyDescent="0.3">
      <c r="A62" t="s">
        <v>58</v>
      </c>
    </row>
    <row r="63" spans="1:4" x14ac:dyDescent="0.3">
      <c r="A63" t="s">
        <v>59</v>
      </c>
    </row>
    <row r="64" spans="1:4" x14ac:dyDescent="0.3">
      <c r="A64" t="s">
        <v>60</v>
      </c>
    </row>
    <row r="65" spans="1:1" x14ac:dyDescent="0.3">
      <c r="A65" t="s">
        <v>61</v>
      </c>
    </row>
    <row r="66" spans="1:1" x14ac:dyDescent="0.3">
      <c r="A66" t="s">
        <v>62</v>
      </c>
    </row>
    <row r="67" spans="1:1" x14ac:dyDescent="0.3">
      <c r="A67" t="s">
        <v>63</v>
      </c>
    </row>
    <row r="68" spans="1:1" x14ac:dyDescent="0.3">
      <c r="A68" t="s">
        <v>64</v>
      </c>
    </row>
    <row r="69" spans="1:1" x14ac:dyDescent="0.3">
      <c r="A69" t="s">
        <v>65</v>
      </c>
    </row>
    <row r="70" spans="1:1" x14ac:dyDescent="0.3">
      <c r="A70" t="s">
        <v>66</v>
      </c>
    </row>
    <row r="71" spans="1:1" x14ac:dyDescent="0.3">
      <c r="A71" s="1" t="s">
        <v>67</v>
      </c>
    </row>
    <row r="73" spans="1:1" x14ac:dyDescent="0.3">
      <c r="A73" t="s">
        <v>68</v>
      </c>
    </row>
    <row r="74" spans="1:1" x14ac:dyDescent="0.3">
      <c r="A74" t="s">
        <v>69</v>
      </c>
    </row>
    <row r="75" spans="1:1" x14ac:dyDescent="0.3">
      <c r="A75" t="s">
        <v>70</v>
      </c>
    </row>
    <row r="76" spans="1:1" x14ac:dyDescent="0.3">
      <c r="A76" t="s">
        <v>71</v>
      </c>
    </row>
    <row r="77" spans="1:1" x14ac:dyDescent="0.3">
      <c r="A77" t="s">
        <v>72</v>
      </c>
    </row>
    <row r="78" spans="1:1" x14ac:dyDescent="0.3">
      <c r="A78" t="s">
        <v>73</v>
      </c>
    </row>
    <row r="79" spans="1:1" x14ac:dyDescent="0.3">
      <c r="A79" t="s">
        <v>74</v>
      </c>
    </row>
    <row r="80" spans="1:1" x14ac:dyDescent="0.3">
      <c r="A80" t="s">
        <v>75</v>
      </c>
    </row>
    <row r="81" spans="1:15" x14ac:dyDescent="0.3">
      <c r="A81" s="1" t="s">
        <v>76</v>
      </c>
      <c r="C81" t="s">
        <v>77</v>
      </c>
    </row>
    <row r="83" spans="1:15" x14ac:dyDescent="0.3">
      <c r="A83" t="s">
        <v>78</v>
      </c>
    </row>
    <row r="84" spans="1:15" x14ac:dyDescent="0.3">
      <c r="A84" t="s">
        <v>79</v>
      </c>
    </row>
    <row r="85" spans="1:15" x14ac:dyDescent="0.3">
      <c r="A85" t="s">
        <v>80</v>
      </c>
    </row>
    <row r="86" spans="1:15" x14ac:dyDescent="0.3">
      <c r="A86" t="s">
        <v>81</v>
      </c>
    </row>
    <row r="87" spans="1:15" x14ac:dyDescent="0.3">
      <c r="A87" s="1" t="s">
        <v>82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"/>
    </row>
    <row r="88" spans="1:15" x14ac:dyDescent="0.3">
      <c r="A88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A9F7F-74E5-4F7F-BE8F-5625CF7CC949}">
  <dimension ref="A1:E34"/>
  <sheetViews>
    <sheetView workbookViewId="0">
      <selection activeCell="D29" sqref="D29"/>
    </sheetView>
  </sheetViews>
  <sheetFormatPr defaultRowHeight="14.4" x14ac:dyDescent="0.3"/>
  <cols>
    <col min="2" max="2" width="10.77734375" bestFit="1" customWidth="1"/>
    <col min="3" max="3" width="11.6640625" bestFit="1" customWidth="1"/>
    <col min="4" max="4" width="11.109375" customWidth="1"/>
    <col min="7" max="7" width="11.109375" bestFit="1" customWidth="1"/>
    <col min="8" max="8" width="13.44140625" bestFit="1" customWidth="1"/>
  </cols>
  <sheetData>
    <row r="1" spans="1:1" x14ac:dyDescent="0.3">
      <c r="A1" t="s">
        <v>84</v>
      </c>
    </row>
    <row r="2" spans="1:1" x14ac:dyDescent="0.3">
      <c r="A2" t="s">
        <v>85</v>
      </c>
    </row>
    <row r="3" spans="1:1" x14ac:dyDescent="0.3">
      <c r="A3" t="s">
        <v>86</v>
      </c>
    </row>
    <row r="4" spans="1:1" x14ac:dyDescent="0.3">
      <c r="A4" t="s">
        <v>87</v>
      </c>
    </row>
    <row r="5" spans="1:1" x14ac:dyDescent="0.3">
      <c r="A5" t="s">
        <v>88</v>
      </c>
    </row>
    <row r="6" spans="1:1" x14ac:dyDescent="0.3">
      <c r="A6" t="s">
        <v>89</v>
      </c>
    </row>
    <row r="7" spans="1:1" x14ac:dyDescent="0.3">
      <c r="A7" t="s">
        <v>90</v>
      </c>
    </row>
    <row r="8" spans="1:1" x14ac:dyDescent="0.3">
      <c r="A8" t="s">
        <v>91</v>
      </c>
    </row>
    <row r="9" spans="1:1" x14ac:dyDescent="0.3">
      <c r="A9" t="s">
        <v>92</v>
      </c>
    </row>
    <row r="10" spans="1:1" x14ac:dyDescent="0.3">
      <c r="A10" t="s">
        <v>93</v>
      </c>
    </row>
    <row r="11" spans="1:1" x14ac:dyDescent="0.3">
      <c r="A11" t="s">
        <v>94</v>
      </c>
    </row>
    <row r="12" spans="1:1" x14ac:dyDescent="0.3">
      <c r="A12" t="s">
        <v>95</v>
      </c>
    </row>
    <row r="13" spans="1:1" x14ac:dyDescent="0.3">
      <c r="A13" t="s">
        <v>96</v>
      </c>
    </row>
    <row r="14" spans="1:1" x14ac:dyDescent="0.3">
      <c r="A14" t="s">
        <v>97</v>
      </c>
    </row>
    <row r="15" spans="1:1" x14ac:dyDescent="0.3">
      <c r="A15" t="s">
        <v>98</v>
      </c>
    </row>
    <row r="16" spans="1:1" x14ac:dyDescent="0.3">
      <c r="A16" t="s">
        <v>99</v>
      </c>
    </row>
    <row r="17" spans="1:4" x14ac:dyDescent="0.3">
      <c r="A17" t="s">
        <v>100</v>
      </c>
    </row>
    <row r="18" spans="1:4" x14ac:dyDescent="0.3">
      <c r="A18" t="s">
        <v>101</v>
      </c>
    </row>
    <row r="19" spans="1:4" x14ac:dyDescent="0.3">
      <c r="A19" t="s">
        <v>102</v>
      </c>
    </row>
    <row r="21" spans="1:4" x14ac:dyDescent="0.3">
      <c r="A21" t="s">
        <v>103</v>
      </c>
      <c r="B21" s="10">
        <v>1.06</v>
      </c>
      <c r="C21" t="s">
        <v>106</v>
      </c>
      <c r="D21" s="10">
        <v>1.05</v>
      </c>
    </row>
    <row r="22" spans="1:4" x14ac:dyDescent="0.3">
      <c r="A22" t="s">
        <v>104</v>
      </c>
      <c r="B22" s="11">
        <v>0.05</v>
      </c>
      <c r="C22" t="s">
        <v>107</v>
      </c>
      <c r="D22" s="13">
        <v>5.5E-2</v>
      </c>
    </row>
    <row r="23" spans="1:4" x14ac:dyDescent="0.3">
      <c r="A23" t="s">
        <v>108</v>
      </c>
      <c r="B23" s="12">
        <v>0.5</v>
      </c>
      <c r="C23" t="s">
        <v>109</v>
      </c>
      <c r="D23" s="10">
        <v>0.25</v>
      </c>
    </row>
    <row r="24" spans="1:4" x14ac:dyDescent="0.3">
      <c r="A24" t="s">
        <v>105</v>
      </c>
      <c r="B24" s="11">
        <v>0.03</v>
      </c>
      <c r="C24" t="s">
        <v>110</v>
      </c>
      <c r="D24" s="26">
        <v>10000000</v>
      </c>
    </row>
    <row r="26" spans="1:4" x14ac:dyDescent="0.3">
      <c r="A26" t="s">
        <v>207</v>
      </c>
      <c r="C26" s="14">
        <f>B21*EXP((B22 - B24)*B23)</f>
        <v>1.070653177109218</v>
      </c>
    </row>
    <row r="27" spans="1:4" x14ac:dyDescent="0.3">
      <c r="A27" t="s">
        <v>112</v>
      </c>
      <c r="C27" s="15">
        <f>D21*EXP((D22 - B24)*D23)</f>
        <v>1.0565830506039502</v>
      </c>
    </row>
    <row r="28" spans="1:4" x14ac:dyDescent="0.3">
      <c r="A28" t="s">
        <v>111</v>
      </c>
      <c r="C28" s="16">
        <f>D24*(C27-C26) * EXP(-D22*D23)</f>
        <v>-138779.86257225799</v>
      </c>
      <c r="D28" t="s">
        <v>258</v>
      </c>
    </row>
    <row r="30" spans="1:4" x14ac:dyDescent="0.3">
      <c r="C30" t="s">
        <v>253</v>
      </c>
      <c r="D30" t="s">
        <v>254</v>
      </c>
    </row>
    <row r="31" spans="1:4" x14ac:dyDescent="0.3">
      <c r="A31" t="s">
        <v>255</v>
      </c>
      <c r="C31" s="27">
        <f>D24</f>
        <v>10000000</v>
      </c>
      <c r="D31" s="8">
        <f>-C31*C26</f>
        <v>-10706531.77109218</v>
      </c>
    </row>
    <row r="32" spans="1:4" x14ac:dyDescent="0.3">
      <c r="A32" t="s">
        <v>256</v>
      </c>
      <c r="C32" s="27">
        <f>-C31</f>
        <v>-10000000</v>
      </c>
      <c r="D32" s="8">
        <f>-C32*C27</f>
        <v>10565830.506039502</v>
      </c>
    </row>
    <row r="33" spans="1:5" x14ac:dyDescent="0.3">
      <c r="A33" t="s">
        <v>211</v>
      </c>
      <c r="C33" s="27">
        <f>SUM(C31:C32)</f>
        <v>0</v>
      </c>
      <c r="D33" s="27">
        <f>SUM(D31:D32)</f>
        <v>-140701.26505267806</v>
      </c>
    </row>
    <row r="34" spans="1:5" x14ac:dyDescent="0.3">
      <c r="D34" s="8">
        <f>D33*(EXP(-D22*D23))</f>
        <v>-138779.86257225761</v>
      </c>
      <c r="E34" t="s">
        <v>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4875-B7CA-41C9-82F7-72691BB72827}">
  <dimension ref="A1:G46"/>
  <sheetViews>
    <sheetView workbookViewId="0">
      <selection activeCell="C46" sqref="C46"/>
    </sheetView>
  </sheetViews>
  <sheetFormatPr defaultRowHeight="14.4" x14ac:dyDescent="0.3"/>
  <cols>
    <col min="6" max="6" width="9.109375" bestFit="1" customWidth="1"/>
  </cols>
  <sheetData>
    <row r="1" spans="1:1" x14ac:dyDescent="0.3">
      <c r="A1" t="s">
        <v>212</v>
      </c>
    </row>
    <row r="2" spans="1:1" x14ac:dyDescent="0.3">
      <c r="A2" t="s">
        <v>213</v>
      </c>
    </row>
    <row r="3" spans="1:1" x14ac:dyDescent="0.3">
      <c r="A3" t="s">
        <v>214</v>
      </c>
    </row>
    <row r="4" spans="1:1" x14ac:dyDescent="0.3">
      <c r="A4" t="s">
        <v>215</v>
      </c>
    </row>
    <row r="5" spans="1:1" x14ac:dyDescent="0.3">
      <c r="A5" t="s">
        <v>216</v>
      </c>
    </row>
    <row r="6" spans="1:1" x14ac:dyDescent="0.3">
      <c r="A6" t="s">
        <v>217</v>
      </c>
    </row>
    <row r="7" spans="1:1" x14ac:dyDescent="0.3">
      <c r="A7" t="s">
        <v>218</v>
      </c>
    </row>
    <row r="8" spans="1:1" x14ac:dyDescent="0.3">
      <c r="A8" t="s">
        <v>219</v>
      </c>
    </row>
    <row r="9" spans="1:1" x14ac:dyDescent="0.3">
      <c r="A9" t="s">
        <v>220</v>
      </c>
    </row>
    <row r="10" spans="1:1" x14ac:dyDescent="0.3">
      <c r="A10" t="s">
        <v>221</v>
      </c>
    </row>
    <row r="11" spans="1:1" x14ac:dyDescent="0.3">
      <c r="A11" t="s">
        <v>222</v>
      </c>
    </row>
    <row r="12" spans="1:1" x14ac:dyDescent="0.3">
      <c r="A12" t="s">
        <v>223</v>
      </c>
    </row>
    <row r="13" spans="1:1" x14ac:dyDescent="0.3">
      <c r="A13" t="s">
        <v>224</v>
      </c>
    </row>
    <row r="14" spans="1:1" x14ac:dyDescent="0.3">
      <c r="A14" t="s">
        <v>225</v>
      </c>
    </row>
    <row r="15" spans="1:1" x14ac:dyDescent="0.3">
      <c r="A15" t="s">
        <v>226</v>
      </c>
    </row>
    <row r="16" spans="1:1" x14ac:dyDescent="0.3">
      <c r="A16" t="s">
        <v>227</v>
      </c>
    </row>
    <row r="17" spans="1:6" x14ac:dyDescent="0.3">
      <c r="A17" t="s">
        <v>228</v>
      </c>
    </row>
    <row r="18" spans="1:6" x14ac:dyDescent="0.3">
      <c r="A18" t="s">
        <v>229</v>
      </c>
    </row>
    <row r="19" spans="1:6" x14ac:dyDescent="0.3">
      <c r="A19" t="s">
        <v>230</v>
      </c>
    </row>
    <row r="20" spans="1:6" x14ac:dyDescent="0.3">
      <c r="A20" t="s">
        <v>231</v>
      </c>
    </row>
    <row r="21" spans="1:6" x14ac:dyDescent="0.3">
      <c r="A21" t="s">
        <v>232</v>
      </c>
      <c r="B21" s="3"/>
    </row>
    <row r="22" spans="1:6" x14ac:dyDescent="0.3">
      <c r="A22" t="s">
        <v>233</v>
      </c>
      <c r="B22" s="3"/>
    </row>
    <row r="23" spans="1:6" x14ac:dyDescent="0.3">
      <c r="A23" t="s">
        <v>234</v>
      </c>
    </row>
    <row r="24" spans="1:6" x14ac:dyDescent="0.3">
      <c r="A24" t="s">
        <v>235</v>
      </c>
    </row>
    <row r="25" spans="1:6" x14ac:dyDescent="0.3">
      <c r="A25" t="s">
        <v>236</v>
      </c>
    </row>
    <row r="26" spans="1:6" x14ac:dyDescent="0.3">
      <c r="A26" t="s">
        <v>237</v>
      </c>
      <c r="B26" s="22"/>
    </row>
    <row r="27" spans="1:6" x14ac:dyDescent="0.3">
      <c r="B27" s="4"/>
    </row>
    <row r="28" spans="1:6" x14ac:dyDescent="0.3">
      <c r="A28" t="s">
        <v>129</v>
      </c>
      <c r="B28" t="s">
        <v>238</v>
      </c>
      <c r="C28" t="s">
        <v>239</v>
      </c>
      <c r="E28" t="s">
        <v>110</v>
      </c>
      <c r="F28" s="9">
        <v>1000000</v>
      </c>
    </row>
    <row r="29" spans="1:6" x14ac:dyDescent="0.3">
      <c r="A29">
        <v>1</v>
      </c>
      <c r="B29" s="25">
        <v>4.3999999999999997E-2</v>
      </c>
      <c r="C29" s="25">
        <v>4.5999999999999999E-2</v>
      </c>
      <c r="E29" t="s">
        <v>240</v>
      </c>
      <c r="F29" s="11">
        <v>0.01</v>
      </c>
    </row>
    <row r="30" spans="1:6" x14ac:dyDescent="0.3">
      <c r="A30">
        <v>2</v>
      </c>
      <c r="B30" s="25">
        <v>4.4999999999999998E-2</v>
      </c>
      <c r="C30" s="25">
        <v>4.7E-2</v>
      </c>
      <c r="E30" t="s">
        <v>241</v>
      </c>
      <c r="F30" s="11">
        <v>0.4</v>
      </c>
    </row>
    <row r="31" spans="1:6" x14ac:dyDescent="0.3">
      <c r="A31">
        <v>3</v>
      </c>
      <c r="B31" s="25">
        <v>4.5999999999999999E-2</v>
      </c>
      <c r="C31" s="25">
        <v>4.9000000000000002E-2</v>
      </c>
    </row>
    <row r="32" spans="1:6" x14ac:dyDescent="0.3">
      <c r="A32">
        <v>4</v>
      </c>
      <c r="B32" s="25">
        <v>4.8000000000000001E-2</v>
      </c>
      <c r="C32" s="25">
        <v>5.1999999999999998E-2</v>
      </c>
    </row>
    <row r="33" spans="1:7" x14ac:dyDescent="0.3">
      <c r="A33">
        <v>5</v>
      </c>
      <c r="B33" s="25">
        <v>0.05</v>
      </c>
      <c r="C33" s="25">
        <v>5.5E-2</v>
      </c>
    </row>
    <row r="34" spans="1:7" x14ac:dyDescent="0.3">
      <c r="F34" t="str">
        <f>"PVs at " &amp; F29*100 &amp; "% coupon"</f>
        <v>PVs at 1% coupon</v>
      </c>
    </row>
    <row r="35" spans="1:7" x14ac:dyDescent="0.3">
      <c r="A35" t="s">
        <v>129</v>
      </c>
      <c r="B35" t="s">
        <v>245</v>
      </c>
      <c r="C35" t="s">
        <v>242</v>
      </c>
      <c r="D35" t="s">
        <v>243</v>
      </c>
      <c r="E35" t="s">
        <v>244</v>
      </c>
      <c r="F35" t="s">
        <v>246</v>
      </c>
      <c r="G35" t="s">
        <v>247</v>
      </c>
    </row>
    <row r="36" spans="1:7" x14ac:dyDescent="0.3">
      <c r="A36">
        <f>A29</f>
        <v>1</v>
      </c>
      <c r="B36" s="7">
        <f>1/(1+B29)^A29</f>
        <v>0.95785440613026818</v>
      </c>
      <c r="C36" s="4">
        <f>(1 - (1 + B29)^A29 / (1 + C29)^A29) / (1 - $F$30)</f>
        <v>3.1867431485022024E-3</v>
      </c>
      <c r="D36" s="4">
        <f>1-C36</f>
        <v>0.9968132568514978</v>
      </c>
      <c r="E36" s="4">
        <f>1-D36</f>
        <v>3.1867431485022024E-3</v>
      </c>
      <c r="F36" s="8">
        <f>B36*D36*$F$29*$F$28</f>
        <v>9548.019701642701</v>
      </c>
      <c r="G36" s="8">
        <f>C36*(1-$F$30)*$F$28*B36</f>
        <v>1831.4615795989669</v>
      </c>
    </row>
    <row r="37" spans="1:7" x14ac:dyDescent="0.3">
      <c r="A37">
        <f>A30</f>
        <v>2</v>
      </c>
      <c r="B37" s="7">
        <f t="shared" ref="B37:B40" si="0">1/(1+B30)^A30</f>
        <v>0.91572995123738021</v>
      </c>
      <c r="C37" s="4">
        <f>(1 - (1 + B30)^A30 / (1 + C30)^A30) / (1 - $F$30)</f>
        <v>6.3613173521959165E-3</v>
      </c>
      <c r="D37" s="4">
        <f t="shared" ref="D37:D40" si="1">1-C37</f>
        <v>0.99363868264780408</v>
      </c>
      <c r="E37" s="4">
        <f>D36-D37</f>
        <v>3.1745742036937141E-3</v>
      </c>
      <c r="F37" s="8">
        <f t="shared" ref="F37:F40" si="2">B37*D37*$F$29*$F$28</f>
        <v>9099.0470240864834</v>
      </c>
      <c r="G37" s="8">
        <f t="shared" ref="G37:G40" si="3">C37*(1-$F$30)*$F$28*B37</f>
        <v>3495.1492972391206</v>
      </c>
    </row>
    <row r="38" spans="1:7" x14ac:dyDescent="0.3">
      <c r="A38">
        <f t="shared" ref="A38:A39" si="4">A31</f>
        <v>3</v>
      </c>
      <c r="B38" s="7">
        <f t="shared" si="0"/>
        <v>0.87378572706245872</v>
      </c>
      <c r="C38" s="4">
        <f>(1 - (1 + B31)^A31 / (1 + C31)^A31) / (1 - $F$30)</f>
        <v>1.4258477498655203E-2</v>
      </c>
      <c r="D38" s="4">
        <f t="shared" si="1"/>
        <v>0.98574152250134484</v>
      </c>
      <c r="E38" s="4">
        <f t="shared" ref="E38:E40" si="5">D37-D38</f>
        <v>7.8971601464592478E-3</v>
      </c>
      <c r="F38" s="8">
        <f t="shared" si="2"/>
        <v>8613.2687293449271</v>
      </c>
      <c r="G38" s="8">
        <f t="shared" si="3"/>
        <v>7475.3124767796862</v>
      </c>
    </row>
    <row r="39" spans="1:7" x14ac:dyDescent="0.3">
      <c r="A39">
        <f t="shared" si="4"/>
        <v>4</v>
      </c>
      <c r="B39" s="7">
        <f t="shared" si="0"/>
        <v>0.82900064682869612</v>
      </c>
      <c r="C39" s="4">
        <f>(1 - (1 + B32)^A32 / (1 + C32)^A32) / (1 - $F$30)</f>
        <v>2.5204335146962003E-2</v>
      </c>
      <c r="D39" s="4">
        <f t="shared" si="1"/>
        <v>0.97479566485303804</v>
      </c>
      <c r="E39" s="4">
        <f t="shared" si="5"/>
        <v>1.09458576483068E-2</v>
      </c>
      <c r="F39" s="8">
        <f t="shared" si="2"/>
        <v>8081.0623668897733</v>
      </c>
      <c r="G39" s="8">
        <f t="shared" si="3"/>
        <v>12536.646083831243</v>
      </c>
    </row>
    <row r="40" spans="1:7" x14ac:dyDescent="0.3">
      <c r="A40">
        <f>A33</f>
        <v>5</v>
      </c>
      <c r="B40" s="7">
        <f t="shared" si="0"/>
        <v>0.78352616646845896</v>
      </c>
      <c r="C40" s="4">
        <f>(1 - (1 + B33)^A33 / (1 + C33)^A33) / (1 - $F$30)</f>
        <v>3.9121885595741854E-2</v>
      </c>
      <c r="D40" s="4">
        <f t="shared" si="1"/>
        <v>0.96087811440425819</v>
      </c>
      <c r="E40" s="4">
        <f t="shared" si="5"/>
        <v>1.3917550448779847E-2</v>
      </c>
      <c r="F40" s="8">
        <f t="shared" si="2"/>
        <v>7528.7314542260983</v>
      </c>
      <c r="G40" s="8">
        <f t="shared" si="3"/>
        <v>18391.812627509542</v>
      </c>
    </row>
    <row r="42" spans="1:7" x14ac:dyDescent="0.3">
      <c r="A42" t="s">
        <v>248</v>
      </c>
      <c r="B42" s="8">
        <f>SUM(F36:F40)</f>
        <v>42870.129276189989</v>
      </c>
    </row>
    <row r="43" spans="1:7" x14ac:dyDescent="0.3">
      <c r="A43" t="s">
        <v>249</v>
      </c>
      <c r="B43" s="8">
        <f>SUM(G36:G40)</f>
        <v>43730.382064958561</v>
      </c>
    </row>
    <row r="45" spans="1:7" x14ac:dyDescent="0.3">
      <c r="A45" t="s">
        <v>250</v>
      </c>
      <c r="C45" s="16">
        <f>B43-B42</f>
        <v>860.25278876857192</v>
      </c>
      <c r="D45" t="s">
        <v>251</v>
      </c>
    </row>
    <row r="46" spans="1:7" x14ac:dyDescent="0.3">
      <c r="A46" t="s">
        <v>252</v>
      </c>
      <c r="C46" s="24">
        <f>SUM(G36:G40)/ (SUM(F36:F40)/F29)</f>
        <v>1.0200664845964519E-2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CCA52-EE6B-4021-B71A-ADA15E9C447E}">
  <dimension ref="A1:S159"/>
  <sheetViews>
    <sheetView workbookViewId="0">
      <selection activeCell="C29" sqref="C29"/>
    </sheetView>
  </sheetViews>
  <sheetFormatPr defaultRowHeight="14.4" x14ac:dyDescent="0.3"/>
  <sheetData>
    <row r="1" spans="1:1" x14ac:dyDescent="0.3">
      <c r="A1" t="s">
        <v>113</v>
      </c>
    </row>
    <row r="2" spans="1:1" x14ac:dyDescent="0.3">
      <c r="A2" t="s">
        <v>114</v>
      </c>
    </row>
    <row r="3" spans="1:1" x14ac:dyDescent="0.3">
      <c r="A3" t="s">
        <v>115</v>
      </c>
    </row>
    <row r="4" spans="1:1" x14ac:dyDescent="0.3">
      <c r="A4" t="s">
        <v>116</v>
      </c>
    </row>
    <row r="5" spans="1:1" x14ac:dyDescent="0.3">
      <c r="A5" t="s">
        <v>117</v>
      </c>
    </row>
    <row r="6" spans="1:1" x14ac:dyDescent="0.3">
      <c r="A6" t="s">
        <v>118</v>
      </c>
    </row>
    <row r="7" spans="1:1" x14ac:dyDescent="0.3">
      <c r="A7" t="s">
        <v>259</v>
      </c>
    </row>
    <row r="8" spans="1:1" x14ac:dyDescent="0.3">
      <c r="A8" t="s">
        <v>260</v>
      </c>
    </row>
    <row r="9" spans="1:1" x14ac:dyDescent="0.3">
      <c r="A9" t="s">
        <v>261</v>
      </c>
    </row>
    <row r="21" spans="1:6" x14ac:dyDescent="0.3">
      <c r="A21" t="s">
        <v>119</v>
      </c>
    </row>
    <row r="22" spans="1:6" x14ac:dyDescent="0.3">
      <c r="A22" t="s">
        <v>120</v>
      </c>
    </row>
    <row r="23" spans="1:6" x14ac:dyDescent="0.3">
      <c r="A23" t="s">
        <v>121</v>
      </c>
    </row>
    <row r="24" spans="1:6" x14ac:dyDescent="0.3">
      <c r="A24" t="s">
        <v>122</v>
      </c>
    </row>
    <row r="25" spans="1:6" x14ac:dyDescent="0.3">
      <c r="A25" t="s">
        <v>123</v>
      </c>
    </row>
    <row r="26" spans="1:6" x14ac:dyDescent="0.3">
      <c r="A26" t="s">
        <v>124</v>
      </c>
    </row>
    <row r="27" spans="1:6" x14ac:dyDescent="0.3">
      <c r="A27" t="s">
        <v>125</v>
      </c>
    </row>
    <row r="28" spans="1:6" x14ac:dyDescent="0.3">
      <c r="A28" t="s">
        <v>155</v>
      </c>
    </row>
    <row r="29" spans="1:6" x14ac:dyDescent="0.3">
      <c r="A29" t="s">
        <v>269</v>
      </c>
    </row>
    <row r="31" spans="1:6" x14ac:dyDescent="0.3">
      <c r="A31" t="s">
        <v>126</v>
      </c>
      <c r="B31" s="10">
        <v>150</v>
      </c>
      <c r="C31" t="s">
        <v>130</v>
      </c>
      <c r="D31" s="10">
        <v>150</v>
      </c>
      <c r="E31" t="s">
        <v>106</v>
      </c>
      <c r="F31" s="10">
        <v>100</v>
      </c>
    </row>
    <row r="32" spans="1:6" x14ac:dyDescent="0.3">
      <c r="A32" t="s">
        <v>127</v>
      </c>
      <c r="B32" s="10">
        <v>25</v>
      </c>
      <c r="C32" t="s">
        <v>131</v>
      </c>
      <c r="D32" s="11">
        <v>0.3</v>
      </c>
      <c r="E32" t="s">
        <v>133</v>
      </c>
      <c r="F32" s="10">
        <v>150</v>
      </c>
    </row>
    <row r="33" spans="1:19" x14ac:dyDescent="0.3">
      <c r="A33" t="s">
        <v>128</v>
      </c>
      <c r="B33" s="10">
        <v>10</v>
      </c>
      <c r="C33" t="s">
        <v>132</v>
      </c>
      <c r="D33" s="11">
        <v>0.05</v>
      </c>
      <c r="E33" t="s">
        <v>134</v>
      </c>
      <c r="F33" s="10">
        <v>200</v>
      </c>
    </row>
    <row r="34" spans="1:19" x14ac:dyDescent="0.3">
      <c r="A34" t="s">
        <v>129</v>
      </c>
      <c r="B34" s="10">
        <v>0.5</v>
      </c>
      <c r="C34" t="s">
        <v>105</v>
      </c>
      <c r="D34" s="11">
        <v>0</v>
      </c>
    </row>
    <row r="36" spans="1:19" x14ac:dyDescent="0.3">
      <c r="A36" t="s">
        <v>262</v>
      </c>
    </row>
    <row r="37" spans="1:19" x14ac:dyDescent="0.3">
      <c r="A37" t="s">
        <v>263</v>
      </c>
    </row>
    <row r="38" spans="1:19" x14ac:dyDescent="0.3">
      <c r="G38" s="28" t="str">
        <f>"S1 = " &amp; F31</f>
        <v>S1 = 100</v>
      </c>
      <c r="H38" s="28"/>
      <c r="I38" s="28"/>
      <c r="L38" s="28" t="str">
        <f>"S2 = " &amp; F32</f>
        <v>S2 = 150</v>
      </c>
      <c r="M38" s="28"/>
      <c r="N38" s="28"/>
      <c r="Q38" s="28" t="str">
        <f>"S3 = " &amp; F33</f>
        <v>S3 = 200</v>
      </c>
      <c r="R38" s="28"/>
      <c r="S38" s="28"/>
    </row>
    <row r="39" spans="1:19" x14ac:dyDescent="0.3">
      <c r="B39" t="s">
        <v>138</v>
      </c>
      <c r="C39" t="s">
        <v>126</v>
      </c>
      <c r="D39" t="s">
        <v>139</v>
      </c>
      <c r="G39" t="s">
        <v>138</v>
      </c>
      <c r="H39" t="s">
        <v>126</v>
      </c>
      <c r="I39" t="s">
        <v>139</v>
      </c>
      <c r="L39" t="s">
        <v>138</v>
      </c>
      <c r="M39" t="s">
        <v>126</v>
      </c>
      <c r="N39" t="s">
        <v>139</v>
      </c>
      <c r="Q39" t="s">
        <v>138</v>
      </c>
      <c r="R39" t="s">
        <v>126</v>
      </c>
      <c r="S39" t="s">
        <v>139</v>
      </c>
    </row>
    <row r="40" spans="1:19" x14ac:dyDescent="0.3">
      <c r="A40" t="s">
        <v>130</v>
      </c>
      <c r="B40" s="8">
        <f>D31</f>
        <v>150</v>
      </c>
      <c r="C40" s="8">
        <f>B40</f>
        <v>150</v>
      </c>
      <c r="D40" s="8">
        <f t="shared" ref="D40" si="0">C40</f>
        <v>150</v>
      </c>
      <c r="E40" s="8"/>
      <c r="F40" t="s">
        <v>130</v>
      </c>
      <c r="G40" s="18">
        <f>F31</f>
        <v>100</v>
      </c>
      <c r="H40" s="18">
        <f>G40</f>
        <v>100</v>
      </c>
      <c r="I40" s="18">
        <f t="shared" ref="I40" si="1">H40</f>
        <v>100</v>
      </c>
      <c r="K40" t="s">
        <v>130</v>
      </c>
      <c r="L40" s="18">
        <f>F32</f>
        <v>150</v>
      </c>
      <c r="M40" s="18">
        <f>L40</f>
        <v>150</v>
      </c>
      <c r="N40" s="18">
        <f t="shared" ref="N40" si="2">M40</f>
        <v>150</v>
      </c>
      <c r="P40" t="s">
        <v>130</v>
      </c>
      <c r="Q40" s="18">
        <f>F33</f>
        <v>200</v>
      </c>
      <c r="R40" s="18">
        <f>Q40</f>
        <v>200</v>
      </c>
      <c r="S40" s="18">
        <f t="shared" ref="S40" si="3">R40</f>
        <v>200</v>
      </c>
    </row>
    <row r="41" spans="1:19" x14ac:dyDescent="0.3">
      <c r="A41" t="s">
        <v>126</v>
      </c>
      <c r="B41" s="8">
        <f>B31-B32</f>
        <v>125</v>
      </c>
      <c r="C41" s="8">
        <f>B31</f>
        <v>150</v>
      </c>
      <c r="D41">
        <f>B31+B32</f>
        <v>175</v>
      </c>
      <c r="E41" s="8"/>
      <c r="F41" t="s">
        <v>126</v>
      </c>
      <c r="G41" s="8">
        <f>B41</f>
        <v>125</v>
      </c>
      <c r="H41" s="8">
        <f>C41</f>
        <v>150</v>
      </c>
      <c r="I41">
        <f>D41</f>
        <v>175</v>
      </c>
      <c r="K41" t="s">
        <v>126</v>
      </c>
      <c r="L41" s="8">
        <f>G41</f>
        <v>125</v>
      </c>
      <c r="M41" s="8">
        <f>H41</f>
        <v>150</v>
      </c>
      <c r="N41">
        <f>I41</f>
        <v>175</v>
      </c>
      <c r="P41" t="s">
        <v>126</v>
      </c>
      <c r="Q41" s="8">
        <f>L41</f>
        <v>125</v>
      </c>
      <c r="R41" s="8">
        <f>M41</f>
        <v>150</v>
      </c>
      <c r="S41">
        <f>N41</f>
        <v>175</v>
      </c>
    </row>
    <row r="42" spans="1:19" x14ac:dyDescent="0.3">
      <c r="A42" t="s">
        <v>129</v>
      </c>
      <c r="B42" s="5">
        <f>B34</f>
        <v>0.5</v>
      </c>
      <c r="C42" s="5">
        <f>B42</f>
        <v>0.5</v>
      </c>
      <c r="D42" s="5">
        <f t="shared" ref="D42" si="4">C42</f>
        <v>0.5</v>
      </c>
      <c r="E42" s="5"/>
      <c r="F42" t="s">
        <v>129</v>
      </c>
      <c r="G42" s="5">
        <f>B42</f>
        <v>0.5</v>
      </c>
      <c r="H42" s="5">
        <f>G42</f>
        <v>0.5</v>
      </c>
      <c r="I42" s="5">
        <f>H42</f>
        <v>0.5</v>
      </c>
      <c r="K42" t="s">
        <v>129</v>
      </c>
      <c r="L42" s="5">
        <f>B42</f>
        <v>0.5</v>
      </c>
      <c r="M42" s="5">
        <f>L42</f>
        <v>0.5</v>
      </c>
      <c r="N42" s="5">
        <f t="shared" ref="N42" si="5">M42</f>
        <v>0.5</v>
      </c>
      <c r="P42" t="s">
        <v>129</v>
      </c>
      <c r="Q42" s="5">
        <f>G42</f>
        <v>0.5</v>
      </c>
      <c r="R42" s="5">
        <f>Q42</f>
        <v>0.5</v>
      </c>
      <c r="S42" s="5">
        <f t="shared" ref="S42:S45" si="6">R42</f>
        <v>0.5</v>
      </c>
    </row>
    <row r="43" spans="1:19" x14ac:dyDescent="0.3">
      <c r="A43" t="s">
        <v>132</v>
      </c>
      <c r="B43" s="3">
        <f>D33</f>
        <v>0.05</v>
      </c>
      <c r="C43" s="3">
        <f>B43</f>
        <v>0.05</v>
      </c>
      <c r="D43" s="3">
        <f t="shared" ref="D43" si="7">C43</f>
        <v>0.05</v>
      </c>
      <c r="E43" s="3"/>
      <c r="F43" t="s">
        <v>132</v>
      </c>
      <c r="G43" s="3">
        <f>B43</f>
        <v>0.05</v>
      </c>
      <c r="H43" s="3">
        <f>G43</f>
        <v>0.05</v>
      </c>
      <c r="I43" s="3">
        <f t="shared" ref="I43" si="8">H43</f>
        <v>0.05</v>
      </c>
      <c r="K43" t="s">
        <v>132</v>
      </c>
      <c r="L43" s="3">
        <f>B43</f>
        <v>0.05</v>
      </c>
      <c r="M43" s="3">
        <f>L43</f>
        <v>0.05</v>
      </c>
      <c r="N43" s="3">
        <f t="shared" ref="N43" si="9">M43</f>
        <v>0.05</v>
      </c>
      <c r="P43" t="s">
        <v>132</v>
      </c>
      <c r="Q43" s="3">
        <f>G43</f>
        <v>0.05</v>
      </c>
      <c r="R43" s="3">
        <f>Q43</f>
        <v>0.05</v>
      </c>
      <c r="S43" s="3">
        <f t="shared" si="6"/>
        <v>0.05</v>
      </c>
    </row>
    <row r="44" spans="1:19" x14ac:dyDescent="0.3">
      <c r="A44" t="s">
        <v>105</v>
      </c>
      <c r="B44" s="3">
        <f>D34</f>
        <v>0</v>
      </c>
      <c r="C44" s="3">
        <f>B44</f>
        <v>0</v>
      </c>
      <c r="D44" s="3">
        <f t="shared" ref="D44" si="10">C44</f>
        <v>0</v>
      </c>
      <c r="E44" s="3"/>
      <c r="F44" t="s">
        <v>105</v>
      </c>
      <c r="G44" s="3">
        <f>B44</f>
        <v>0</v>
      </c>
      <c r="H44" s="3">
        <f>G44</f>
        <v>0</v>
      </c>
      <c r="I44" s="3">
        <f t="shared" ref="I44" si="11">H44</f>
        <v>0</v>
      </c>
      <c r="K44" t="s">
        <v>105</v>
      </c>
      <c r="L44" s="3">
        <f>B44</f>
        <v>0</v>
      </c>
      <c r="M44" s="3">
        <f>L44</f>
        <v>0</v>
      </c>
      <c r="N44" s="3">
        <f t="shared" ref="N44" si="12">M44</f>
        <v>0</v>
      </c>
      <c r="P44" t="s">
        <v>105</v>
      </c>
      <c r="Q44" s="3">
        <f>G44</f>
        <v>0</v>
      </c>
      <c r="R44" s="3">
        <f>Q44</f>
        <v>0</v>
      </c>
      <c r="S44" s="3">
        <f t="shared" si="6"/>
        <v>0</v>
      </c>
    </row>
    <row r="45" spans="1:19" x14ac:dyDescent="0.3">
      <c r="A45" t="s">
        <v>131</v>
      </c>
      <c r="B45" s="3">
        <f>D32</f>
        <v>0.3</v>
      </c>
      <c r="C45" s="3">
        <f>B45</f>
        <v>0.3</v>
      </c>
      <c r="D45" s="3">
        <f t="shared" ref="D45" si="13">C45</f>
        <v>0.3</v>
      </c>
      <c r="E45" s="3"/>
      <c r="F45" t="s">
        <v>131</v>
      </c>
      <c r="G45" s="3">
        <f>B45</f>
        <v>0.3</v>
      </c>
      <c r="H45" s="3">
        <f>G45</f>
        <v>0.3</v>
      </c>
      <c r="I45" s="3">
        <f t="shared" ref="I45" si="14">H45</f>
        <v>0.3</v>
      </c>
      <c r="K45" t="s">
        <v>131</v>
      </c>
      <c r="L45" s="3">
        <f>B45</f>
        <v>0.3</v>
      </c>
      <c r="M45" s="3">
        <f>L45</f>
        <v>0.3</v>
      </c>
      <c r="N45" s="3">
        <f t="shared" ref="N45" si="15">M45</f>
        <v>0.3</v>
      </c>
      <c r="P45" t="s">
        <v>131</v>
      </c>
      <c r="Q45" s="3">
        <f>G45</f>
        <v>0.3</v>
      </c>
      <c r="R45" s="3">
        <f>Q45</f>
        <v>0.3</v>
      </c>
      <c r="S45" s="3">
        <f t="shared" si="6"/>
        <v>0.3</v>
      </c>
    </row>
    <row r="46" spans="1:19" x14ac:dyDescent="0.3">
      <c r="A46" t="s">
        <v>135</v>
      </c>
      <c r="B46" s="6">
        <f xml:space="preserve"> 1 / (B45 * SQRT(B42)) * (LN(B40/B41) + (B43 - B44 + B45^2/2)*B42)</f>
        <v>1.0833892084790304</v>
      </c>
      <c r="C46" s="6">
        <f t="shared" ref="C46:D46" si="16" xml:space="preserve"> 1 / (C45 * SQRT(C42)) * (LN(C40/C41) + (C43 - C44 + C45^2/2)*C42)</f>
        <v>0.22391714737574006</v>
      </c>
      <c r="D46" s="6">
        <f t="shared" si="16"/>
        <v>-0.50275612616006482</v>
      </c>
      <c r="E46" s="6"/>
      <c r="F46" t="s">
        <v>135</v>
      </c>
      <c r="G46" s="6">
        <f xml:space="preserve"> 1 / (G45 * SQRT(G42)) * (LN(G40/G41) + (G43 - G44 + G45^2/2)*G42)</f>
        <v>-0.82799164137310022</v>
      </c>
      <c r="H46" s="6">
        <f t="shared" ref="H46" si="17" xml:space="preserve"> 1 / (H45 * SQRT(H42)) * (LN(H40/H41) + (H43 - H44 + H45^2/2)*H42)</f>
        <v>-1.6874637024763912</v>
      </c>
      <c r="I46" s="6">
        <f t="shared" ref="I46" si="18" xml:space="preserve"> 1 / (I45 * SQRT(I42)) * (LN(I40/I41) + (I43 - I44 + I45^2/2)*I42)</f>
        <v>-2.414136976012196</v>
      </c>
      <c r="K46" t="s">
        <v>135</v>
      </c>
      <c r="L46" s="6">
        <f xml:space="preserve"> 1 / (L45 * SQRT(L42)) * (LN(L40/L41) + (L43 - L44 + L45^2/2)*L42)</f>
        <v>1.0833892084790304</v>
      </c>
      <c r="M46" s="6">
        <f t="shared" ref="M46" si="19" xml:space="preserve"> 1 / (M45 * SQRT(M42)) * (LN(M40/M41) + (M43 - M44 + M45^2/2)*M42)</f>
        <v>0.22391714737574006</v>
      </c>
      <c r="N46" s="6">
        <f t="shared" ref="N46" si="20" xml:space="preserve"> 1 / (N45 * SQRT(N42)) * (LN(N40/N41) + (N43 - N44 + N45^2/2)*N42)</f>
        <v>-0.50275612616006482</v>
      </c>
      <c r="P46" t="s">
        <v>135</v>
      </c>
      <c r="Q46" s="6">
        <f xml:space="preserve"> 1 / (Q45 * SQRT(Q42)) * (LN(Q40/Q41) + (Q43 - Q44 + Q45^2/2)*Q42)</f>
        <v>2.4395355035220576</v>
      </c>
      <c r="R46" s="6">
        <f t="shared" ref="R46" si="21" xml:space="preserve"> 1 / (R45 * SQRT(R42)) * (LN(R40/R41) + (R43 - R44 + R45^2/2)*R42)</f>
        <v>1.5800634424187661</v>
      </c>
      <c r="S46" s="6">
        <f t="shared" ref="S46" si="22" xml:space="preserve"> 1 / (S45 * SQRT(S42)) * (LN(S40/S41) + (S43 - S44 + S45^2/2)*S42)</f>
        <v>0.85339016888296171</v>
      </c>
    </row>
    <row r="47" spans="1:19" x14ac:dyDescent="0.3">
      <c r="A47" t="s">
        <v>136</v>
      </c>
      <c r="B47" s="6">
        <f xml:space="preserve"> 1 / (B45 * SQRT(B42)) * (LN(B40/B41) + (B43 - B44 - B45^2/2)*B42)</f>
        <v>0.87125717412306614</v>
      </c>
      <c r="C47" s="6">
        <f t="shared" ref="C47:D47" si="23" xml:space="preserve"> 1 / (C45 * SQRT(C42)) * (LN(C40/C41) + (C43 - C44 - C45^2/2)*C42)</f>
        <v>1.1785113019775802E-2</v>
      </c>
      <c r="D47" s="6">
        <f t="shared" si="23"/>
        <v>-0.71488816051602899</v>
      </c>
      <c r="E47" s="6"/>
      <c r="F47" t="s">
        <v>136</v>
      </c>
      <c r="G47" s="6">
        <f xml:space="preserve"> 1 / (G45 * SQRT(G42)) * (LN(G40/G41) + (G43 - G44 - G45^2/2)*G42)</f>
        <v>-1.0401236757290644</v>
      </c>
      <c r="H47" s="6">
        <f t="shared" ref="H47:I47" si="24" xml:space="preserve"> 1 / (H45 * SQRT(H42)) * (LN(H40/H41) + (H43 - H44 - H45^2/2)*H42)</f>
        <v>-1.8995957368323555</v>
      </c>
      <c r="I47" s="6">
        <f t="shared" si="24"/>
        <v>-2.6262690103681599</v>
      </c>
      <c r="K47" t="s">
        <v>136</v>
      </c>
      <c r="L47" s="6">
        <f xml:space="preserve"> 1 / (L45 * SQRT(L42)) * (LN(L40/L41) + (L43 - L44 - L45^2/2)*L42)</f>
        <v>0.87125717412306614</v>
      </c>
      <c r="M47" s="6">
        <f t="shared" ref="M47:N47" si="25" xml:space="preserve"> 1 / (M45 * SQRT(M42)) * (LN(M40/M41) + (M43 - M44 - M45^2/2)*M42)</f>
        <v>1.1785113019775802E-2</v>
      </c>
      <c r="N47" s="6">
        <f t="shared" si="25"/>
        <v>-0.71488816051602899</v>
      </c>
      <c r="P47" t="s">
        <v>136</v>
      </c>
      <c r="Q47" s="6">
        <f xml:space="preserve"> 1 / (Q45 * SQRT(Q42)) * (LN(Q40/Q41) + (Q43 - Q44 - Q45^2/2)*Q42)</f>
        <v>2.2274034691660933</v>
      </c>
      <c r="R47" s="6">
        <f t="shared" ref="R47:S47" si="26" xml:space="preserve"> 1 / (R45 * SQRT(R42)) * (LN(R40/R41) + (R43 - R44 - R45^2/2)*R42)</f>
        <v>1.367931408062802</v>
      </c>
      <c r="S47" s="6">
        <f t="shared" si="26"/>
        <v>0.64125813452699743</v>
      </c>
    </row>
    <row r="48" spans="1:19" x14ac:dyDescent="0.3">
      <c r="A48" t="s">
        <v>137</v>
      </c>
      <c r="B48" s="19">
        <f t="shared" ref="B48:D48" si="27">B40 * EXP(-B44*B42) *_xlfn.NORM.DIST(B46, 0, 1, 1) - B41 * EXP(-B43*B42) *_xlfn.NORM.DIST(B47, 0, 1, 1)</f>
        <v>30.572476420975747</v>
      </c>
      <c r="C48" s="19">
        <f t="shared" si="27"/>
        <v>14.452314942673766</v>
      </c>
      <c r="D48" s="19">
        <f t="shared" si="27"/>
        <v>5.6263288164937393</v>
      </c>
      <c r="F48" t="s">
        <v>137</v>
      </c>
      <c r="G48" s="19">
        <f t="shared" ref="G48:I48" si="28">G40 * EXP(-G44*G42) *_xlfn.NORM.DIST(G46, 0, 1, 1) - G41 * EXP(-G43*G42) *_xlfn.NORM.DIST(G47, 0, 1, 1)</f>
        <v>2.2013975852929448</v>
      </c>
      <c r="H48" s="19">
        <f t="shared" si="28"/>
        <v>0.37069721251396359</v>
      </c>
      <c r="I48" s="19">
        <f t="shared" si="28"/>
        <v>5.1919001716445923E-2</v>
      </c>
      <c r="K48" t="s">
        <v>137</v>
      </c>
      <c r="L48" s="19">
        <f t="shared" ref="L48:N48" si="29">L40 * EXP(-L44*L42) *_xlfn.NORM.DIST(L46, 0, 1, 1) - L41 * EXP(-L43*L42) *_xlfn.NORM.DIST(L47, 0, 1, 1)</f>
        <v>30.572476420975747</v>
      </c>
      <c r="M48" s="19">
        <f t="shared" si="29"/>
        <v>14.452314942673766</v>
      </c>
      <c r="N48" s="19">
        <f t="shared" si="29"/>
        <v>5.6263288164937393</v>
      </c>
      <c r="P48" t="s">
        <v>137</v>
      </c>
      <c r="Q48" s="19">
        <f t="shared" ref="Q48:S48" si="30">Q40 * EXP(-Q44*Q42) *_xlfn.NORM.DIST(Q46, 0, 1, 1) - Q41 * EXP(-Q43*Q42) *_xlfn.NORM.DIST(Q47, 0, 1, 1)</f>
        <v>78.195666856260019</v>
      </c>
      <c r="R48" s="19">
        <f t="shared" si="30"/>
        <v>54.827027398594538</v>
      </c>
      <c r="S48" s="19">
        <f t="shared" si="30"/>
        <v>34.4687031158536</v>
      </c>
    </row>
    <row r="49" spans="1:19" x14ac:dyDescent="0.3">
      <c r="A49" t="s">
        <v>140</v>
      </c>
      <c r="B49" s="5">
        <f>B40 * EXP(-B44*B42) * SQRT(B42) * _xlfn.NORM.DIST(B46, 0, 1, FALSE)</f>
        <v>23.529550095358026</v>
      </c>
      <c r="C49" s="5">
        <f t="shared" ref="C49:D49" si="31">C40 * EXP(-C44*C42) * SQRT(C42) * _xlfn.NORM.DIST(C46, 0, 1, FALSE)</f>
        <v>41.266611145902601</v>
      </c>
      <c r="D49" s="5">
        <f t="shared" si="31"/>
        <v>37.290600941587741</v>
      </c>
      <c r="F49" t="s">
        <v>140</v>
      </c>
      <c r="G49" s="5">
        <f>G40 * EXP(-G44*G42) * SQRT(G42) * _xlfn.NORM.DIST(G46, 0, 1, FALSE)</f>
        <v>20.022827214290814</v>
      </c>
      <c r="H49" s="5">
        <f t="shared" ref="H49:I49" si="32">H40 * EXP(-H44*H42) * SQRT(H42) * _xlfn.NORM.DIST(H46, 0, 1, FALSE)</f>
        <v>6.7929899375814946</v>
      </c>
      <c r="I49" s="5">
        <f t="shared" si="32"/>
        <v>1.5305534362365882</v>
      </c>
      <c r="K49" t="s">
        <v>140</v>
      </c>
      <c r="L49" s="5">
        <f>L40 * EXP(-L44*L42) * SQRT(L42) * _xlfn.NORM.DIST(L46, 0, 1, FALSE)</f>
        <v>23.529550095358026</v>
      </c>
      <c r="M49" s="5">
        <f t="shared" ref="M49:N49" si="33">M40 * EXP(-M44*M42) * SQRT(M42) * _xlfn.NORM.DIST(M46, 0, 1, FALSE)</f>
        <v>41.266611145902601</v>
      </c>
      <c r="N49" s="5">
        <f t="shared" si="33"/>
        <v>37.290600941587741</v>
      </c>
      <c r="P49" t="s">
        <v>140</v>
      </c>
      <c r="Q49" s="5">
        <f>Q40 * EXP(-Q44*Q42) * SQRT(Q42) * _xlfn.NORM.DIST(Q46, 0, 1, FALSE)</f>
        <v>2.8781234634545125</v>
      </c>
      <c r="R49" s="5">
        <f t="shared" ref="R49:S49" si="34">R40 * EXP(-R44*R42) * SQRT(R42) * _xlfn.NORM.DIST(R46, 0, 1, FALSE)</f>
        <v>16.191800984123962</v>
      </c>
      <c r="S49" s="5">
        <f t="shared" si="34"/>
        <v>39.199651360432426</v>
      </c>
    </row>
    <row r="50" spans="1:19" x14ac:dyDescent="0.3">
      <c r="A50" t="s">
        <v>141</v>
      </c>
      <c r="B50" s="20">
        <f>EXP(-B43*B42)*_xlfn.NORM.DIST(B47, 0, 1, TRUE)</f>
        <v>0.78823876646820068</v>
      </c>
      <c r="C50" s="7">
        <f t="shared" ref="C50:D50" si="35">EXP(-C43*C42)*_xlfn.NORM.DIST(C47, 0, 1, TRUE)</f>
        <v>0.49224034731308075</v>
      </c>
      <c r="D50" s="20">
        <f t="shared" si="35"/>
        <v>0.23147915400414543</v>
      </c>
      <c r="F50" t="s">
        <v>141</v>
      </c>
      <c r="G50" s="20">
        <f>EXP(-G43*G42)*_xlfn.NORM.DIST(G47, 0, 1, TRUE)</f>
        <v>0.14545891276908635</v>
      </c>
      <c r="H50" s="7">
        <f t="shared" ref="H50:I50" si="36">EXP(-H43*H42)*_xlfn.NORM.DIST(H47, 0, 1, TRUE)</f>
        <v>2.8033426491991059E-2</v>
      </c>
      <c r="I50" s="20">
        <f t="shared" si="36"/>
        <v>4.2097575925454274E-3</v>
      </c>
      <c r="K50" t="s">
        <v>141</v>
      </c>
      <c r="L50" s="20">
        <f>EXP(-L43*L42)*_xlfn.NORM.DIST(L47, 0, 1, TRUE)</f>
        <v>0.78823876646820068</v>
      </c>
      <c r="M50" s="7">
        <f t="shared" ref="M50:N50" si="37">EXP(-M43*M42)*_xlfn.NORM.DIST(M47, 0, 1, TRUE)</f>
        <v>0.49224034731308075</v>
      </c>
      <c r="N50" s="20">
        <f t="shared" si="37"/>
        <v>0.23147915400414543</v>
      </c>
      <c r="P50" t="s">
        <v>141</v>
      </c>
      <c r="Q50" s="20">
        <f>EXP(-Q43*Q42)*_xlfn.NORM.DIST(Q47, 0, 1, TRUE)</f>
        <v>0.96266973913780063</v>
      </c>
      <c r="R50" s="7">
        <f t="shared" ref="R50:S50" si="38">EXP(-R43*R42)*_xlfn.NORM.DIST(R47, 0, 1, TRUE)</f>
        <v>0.89175825848890378</v>
      </c>
      <c r="S50" s="20">
        <f t="shared" si="38"/>
        <v>0.72106856989470303</v>
      </c>
    </row>
    <row r="51" spans="1:19" x14ac:dyDescent="0.3">
      <c r="A51" t="s">
        <v>142</v>
      </c>
      <c r="B51" s="5">
        <f>-(B47/B45 + SQRT(B42)) * EXP(-B43*B42) * _xlfn.NORM.DIST(B47, 0, 1, FALSE)</f>
        <v>-0.96135072596915994</v>
      </c>
      <c r="C51" s="5">
        <f t="shared" ref="C51:D51" si="39">-(C47/C45 + SQRT(C42)) * EXP(-C43*C42) * _xlfn.NORM.DIST(C47, 0, 1, FALSE)</f>
        <v>-0.29039467102672206</v>
      </c>
      <c r="D51" s="5">
        <f t="shared" si="39"/>
        <v>0.50502450051902648</v>
      </c>
      <c r="F51" t="s">
        <v>142</v>
      </c>
      <c r="G51" s="5">
        <f>-(G47/G45 + SQRT(G42)) * EXP(-G43*G42) * _xlfn.NORM.DIST(G47, 0, 1, FALSE)</f>
        <v>0.62522319631446099</v>
      </c>
      <c r="H51" s="5">
        <f t="shared" ref="H51:I51" si="40">-(H47/H45 + SQRT(H42)) * EXP(-H43*H42) * _xlfn.NORM.DIST(H47, 0, 1, FALSE)</f>
        <v>0.36024494479763441</v>
      </c>
      <c r="I51" s="5">
        <f t="shared" si="40"/>
        <v>9.9532771933405748E-2</v>
      </c>
      <c r="K51" t="s">
        <v>142</v>
      </c>
      <c r="L51" s="5">
        <f>-(L47/L45 + SQRT(L42)) * EXP(-L43*L42) * _xlfn.NORM.DIST(L47, 0, 1, FALSE)</f>
        <v>-0.96135072596915994</v>
      </c>
      <c r="M51" s="5">
        <f t="shared" ref="M51:N51" si="41">-(M47/M45 + SQRT(M42)) * EXP(-M43*M42) * _xlfn.NORM.DIST(M47, 0, 1, FALSE)</f>
        <v>-0.29039467102672206</v>
      </c>
      <c r="N51" s="5">
        <f t="shared" si="41"/>
        <v>0.50502450051902648</v>
      </c>
      <c r="P51" t="s">
        <v>142</v>
      </c>
      <c r="Q51" s="5">
        <f>-(Q47/Q45 + SQRT(Q42)) * EXP(-Q43*Q42) * _xlfn.NORM.DIST(Q47, 0, 1, FALSE)</f>
        <v>-0.26478921560089197</v>
      </c>
      <c r="R51" s="5">
        <f t="shared" ref="R51:S51" si="42">-(R47/R45 + SQRT(R42)) * EXP(-R43*R42) * _xlfn.NORM.DIST(R47, 0, 1, FALSE)</f>
        <v>-0.80402983860525223</v>
      </c>
      <c r="S51" s="5">
        <f t="shared" si="42"/>
        <v>-0.90112602872061498</v>
      </c>
    </row>
    <row r="53" spans="1:19" x14ac:dyDescent="0.3">
      <c r="B53" t="s">
        <v>144</v>
      </c>
    </row>
    <row r="54" spans="1:19" x14ac:dyDescent="0.3">
      <c r="B54" t="s">
        <v>143</v>
      </c>
      <c r="C54" t="s">
        <v>146</v>
      </c>
      <c r="D54" t="s">
        <v>152</v>
      </c>
    </row>
    <row r="55" spans="1:19" x14ac:dyDescent="0.3">
      <c r="A55" t="s">
        <v>147</v>
      </c>
      <c r="B55" s="17">
        <f>B48</f>
        <v>30.572476420975747</v>
      </c>
      <c r="C55">
        <v>1</v>
      </c>
      <c r="D55" s="5">
        <f>B55*C55</f>
        <v>30.572476420975747</v>
      </c>
      <c r="I55" t="s">
        <v>209</v>
      </c>
      <c r="J55" t="s">
        <v>208</v>
      </c>
      <c r="K55" t="s">
        <v>208</v>
      </c>
      <c r="L55" t="s">
        <v>208</v>
      </c>
      <c r="M55" t="s">
        <v>141</v>
      </c>
      <c r="N55" t="s">
        <v>141</v>
      </c>
    </row>
    <row r="56" spans="1:19" x14ac:dyDescent="0.3">
      <c r="A56" t="s">
        <v>148</v>
      </c>
      <c r="B56" s="17">
        <f>C48</f>
        <v>14.452314942673766</v>
      </c>
      <c r="C56">
        <v>-2</v>
      </c>
      <c r="D56" s="5">
        <f t="shared" ref="D56:D59" si="43">B56*C56</f>
        <v>-28.904629885347532</v>
      </c>
      <c r="I56" t="s">
        <v>210</v>
      </c>
      <c r="J56" s="8">
        <f>B41</f>
        <v>125</v>
      </c>
      <c r="K56" s="8">
        <f>C41</f>
        <v>150</v>
      </c>
      <c r="L56">
        <f>D41</f>
        <v>175</v>
      </c>
      <c r="M56" s="8">
        <f>B41</f>
        <v>125</v>
      </c>
      <c r="N56">
        <f>D41</f>
        <v>175</v>
      </c>
    </row>
    <row r="57" spans="1:19" x14ac:dyDescent="0.3">
      <c r="A57" t="s">
        <v>149</v>
      </c>
      <c r="B57" s="17">
        <f>D48</f>
        <v>5.6263288164937393</v>
      </c>
      <c r="C57">
        <v>1</v>
      </c>
      <c r="D57" s="5">
        <f t="shared" si="43"/>
        <v>5.6263288164937393</v>
      </c>
      <c r="I57" t="s">
        <v>146</v>
      </c>
      <c r="J57">
        <f>C55</f>
        <v>1</v>
      </c>
      <c r="K57">
        <f>C56</f>
        <v>-2</v>
      </c>
      <c r="L57">
        <f>C57</f>
        <v>1</v>
      </c>
      <c r="M57">
        <f>C58</f>
        <v>10</v>
      </c>
      <c r="N57">
        <f>C59</f>
        <v>-10</v>
      </c>
    </row>
    <row r="58" spans="1:19" x14ac:dyDescent="0.3">
      <c r="A58" t="s">
        <v>150</v>
      </c>
      <c r="B58" s="7">
        <f>B50</f>
        <v>0.78823876646820068</v>
      </c>
      <c r="C58">
        <f>B33</f>
        <v>10</v>
      </c>
      <c r="D58" s="5">
        <f t="shared" si="43"/>
        <v>7.8823876646820068</v>
      </c>
      <c r="J58" t="str">
        <f>J57 &amp; " x " &amp; J55 &amp; "-" &amp;J56</f>
        <v>1 x Vanilla-125</v>
      </c>
      <c r="K58" t="str">
        <f t="shared" ref="K58:N58" si="44">K57 &amp; " x " &amp; K55 &amp; "-" &amp;K56</f>
        <v>-2 x Vanilla-150</v>
      </c>
      <c r="L58" t="str">
        <f t="shared" si="44"/>
        <v>1 x Vanilla-175</v>
      </c>
      <c r="M58" t="str">
        <f t="shared" si="44"/>
        <v>10 x Digital-125</v>
      </c>
      <c r="N58" t="str">
        <f t="shared" si="44"/>
        <v>-10 x Digital-175</v>
      </c>
      <c r="O58" t="s">
        <v>211</v>
      </c>
    </row>
    <row r="59" spans="1:19" x14ac:dyDescent="0.3">
      <c r="A59" t="s">
        <v>151</v>
      </c>
      <c r="B59" s="7">
        <f>D50</f>
        <v>0.23147915400414543</v>
      </c>
      <c r="C59">
        <f>-B33</f>
        <v>-10</v>
      </c>
      <c r="D59" s="5">
        <f t="shared" si="43"/>
        <v>-2.3147915400414543</v>
      </c>
      <c r="I59">
        <v>100</v>
      </c>
      <c r="J59">
        <f>IF(J$55="Vanilla", MAX($I59-J$56, 0), $I59&gt;=J$56)*J$57</f>
        <v>0</v>
      </c>
      <c r="K59">
        <f t="shared" ref="K59:N74" si="45">IF(K$55="Vanilla", MAX($I59-K$56, 0), $I59&gt;=K$56)*K$57</f>
        <v>0</v>
      </c>
      <c r="L59">
        <f t="shared" si="45"/>
        <v>0</v>
      </c>
      <c r="M59">
        <f t="shared" si="45"/>
        <v>0</v>
      </c>
      <c r="N59">
        <f t="shared" si="45"/>
        <v>0</v>
      </c>
      <c r="O59">
        <f>SUM(J59:N59)</f>
        <v>0</v>
      </c>
    </row>
    <row r="60" spans="1:19" x14ac:dyDescent="0.3">
      <c r="I60">
        <v>101</v>
      </c>
      <c r="J60">
        <f t="shared" ref="J60:N91" si="46">IF(J$55="Vanilla", MAX($I60-J$56, 0), $I60&gt;=J$56)*J$57</f>
        <v>0</v>
      </c>
      <c r="K60">
        <f t="shared" si="45"/>
        <v>0</v>
      </c>
      <c r="L60">
        <f t="shared" si="45"/>
        <v>0</v>
      </c>
      <c r="M60">
        <f t="shared" si="45"/>
        <v>0</v>
      </c>
      <c r="N60">
        <f t="shared" si="45"/>
        <v>0</v>
      </c>
      <c r="O60">
        <f t="shared" ref="O60:O123" si="47">SUM(J60:N60)</f>
        <v>0</v>
      </c>
    </row>
    <row r="61" spans="1:19" x14ac:dyDescent="0.3">
      <c r="A61" t="s">
        <v>143</v>
      </c>
      <c r="B61" s="21">
        <f>SUM(D55:D59)</f>
        <v>12.861771476762506</v>
      </c>
      <c r="C61" t="s">
        <v>153</v>
      </c>
      <c r="I61">
        <v>102</v>
      </c>
      <c r="J61">
        <f t="shared" si="46"/>
        <v>0</v>
      </c>
      <c r="K61">
        <f t="shared" si="45"/>
        <v>0</v>
      </c>
      <c r="L61">
        <f t="shared" si="45"/>
        <v>0</v>
      </c>
      <c r="M61">
        <f t="shared" si="45"/>
        <v>0</v>
      </c>
      <c r="N61">
        <f t="shared" si="45"/>
        <v>0</v>
      </c>
      <c r="O61">
        <f t="shared" si="47"/>
        <v>0</v>
      </c>
    </row>
    <row r="62" spans="1:19" x14ac:dyDescent="0.3">
      <c r="I62">
        <v>103</v>
      </c>
      <c r="J62">
        <f t="shared" si="46"/>
        <v>0</v>
      </c>
      <c r="K62">
        <f t="shared" si="45"/>
        <v>0</v>
      </c>
      <c r="L62">
        <f t="shared" si="45"/>
        <v>0</v>
      </c>
      <c r="M62">
        <f t="shared" si="45"/>
        <v>0</v>
      </c>
      <c r="N62">
        <f t="shared" si="45"/>
        <v>0</v>
      </c>
      <c r="O62">
        <f t="shared" si="47"/>
        <v>0</v>
      </c>
    </row>
    <row r="63" spans="1:19" x14ac:dyDescent="0.3">
      <c r="C63" s="28" t="s">
        <v>145</v>
      </c>
      <c r="D63" s="28"/>
      <c r="E63" s="28"/>
      <c r="I63">
        <v>104</v>
      </c>
      <c r="J63">
        <f t="shared" si="46"/>
        <v>0</v>
      </c>
      <c r="K63">
        <f t="shared" si="45"/>
        <v>0</v>
      </c>
      <c r="L63">
        <f t="shared" si="45"/>
        <v>0</v>
      </c>
      <c r="M63">
        <f t="shared" si="45"/>
        <v>0</v>
      </c>
      <c r="N63">
        <f t="shared" si="45"/>
        <v>0</v>
      </c>
      <c r="O63">
        <f t="shared" si="47"/>
        <v>0</v>
      </c>
    </row>
    <row r="64" spans="1:19" x14ac:dyDescent="0.3">
      <c r="B64" t="s">
        <v>146</v>
      </c>
      <c r="C64" t="str">
        <f>"S1=" &amp; F31</f>
        <v>S1=100</v>
      </c>
      <c r="D64" t="str">
        <f>"S2=" &amp; F32</f>
        <v>S2=150</v>
      </c>
      <c r="E64" t="str">
        <f>"S3=" &amp; F33</f>
        <v>S3=200</v>
      </c>
      <c r="I64">
        <v>105</v>
      </c>
      <c r="J64">
        <f t="shared" si="46"/>
        <v>0</v>
      </c>
      <c r="K64">
        <f t="shared" si="45"/>
        <v>0</v>
      </c>
      <c r="L64">
        <f t="shared" si="45"/>
        <v>0</v>
      </c>
      <c r="M64">
        <f t="shared" si="45"/>
        <v>0</v>
      </c>
      <c r="N64">
        <f t="shared" si="45"/>
        <v>0</v>
      </c>
      <c r="O64">
        <f t="shared" si="47"/>
        <v>0</v>
      </c>
    </row>
    <row r="65" spans="1:15" x14ac:dyDescent="0.3">
      <c r="A65" t="s">
        <v>147</v>
      </c>
      <c r="B65">
        <f>C55</f>
        <v>1</v>
      </c>
      <c r="C65" s="5">
        <f>G49</f>
        <v>20.022827214290814</v>
      </c>
      <c r="D65" s="5">
        <f>L49</f>
        <v>23.529550095358026</v>
      </c>
      <c r="E65" s="5">
        <f>Q49</f>
        <v>2.8781234634545125</v>
      </c>
      <c r="I65">
        <v>106</v>
      </c>
      <c r="J65">
        <f t="shared" si="46"/>
        <v>0</v>
      </c>
      <c r="K65">
        <f t="shared" si="45"/>
        <v>0</v>
      </c>
      <c r="L65">
        <f t="shared" si="45"/>
        <v>0</v>
      </c>
      <c r="M65">
        <f t="shared" si="45"/>
        <v>0</v>
      </c>
      <c r="N65">
        <f t="shared" si="45"/>
        <v>0</v>
      </c>
      <c r="O65">
        <f t="shared" si="47"/>
        <v>0</v>
      </c>
    </row>
    <row r="66" spans="1:15" x14ac:dyDescent="0.3">
      <c r="A66" t="s">
        <v>148</v>
      </c>
      <c r="B66">
        <f>C56</f>
        <v>-2</v>
      </c>
      <c r="C66" s="5">
        <f>H49</f>
        <v>6.7929899375814946</v>
      </c>
      <c r="D66" s="5">
        <f>M49</f>
        <v>41.266611145902601</v>
      </c>
      <c r="E66" s="5">
        <f>R49</f>
        <v>16.191800984123962</v>
      </c>
      <c r="I66">
        <v>107</v>
      </c>
      <c r="J66">
        <f t="shared" si="46"/>
        <v>0</v>
      </c>
      <c r="K66">
        <f t="shared" si="45"/>
        <v>0</v>
      </c>
      <c r="L66">
        <f t="shared" si="45"/>
        <v>0</v>
      </c>
      <c r="M66">
        <f t="shared" si="45"/>
        <v>0</v>
      </c>
      <c r="N66">
        <f t="shared" si="45"/>
        <v>0</v>
      </c>
      <c r="O66">
        <f t="shared" si="47"/>
        <v>0</v>
      </c>
    </row>
    <row r="67" spans="1:15" x14ac:dyDescent="0.3">
      <c r="A67" t="s">
        <v>149</v>
      </c>
      <c r="B67">
        <f>C57</f>
        <v>1</v>
      </c>
      <c r="C67" s="5">
        <f>I49</f>
        <v>1.5305534362365882</v>
      </c>
      <c r="D67" s="5">
        <f>N49</f>
        <v>37.290600941587741</v>
      </c>
      <c r="E67" s="5">
        <f>S49</f>
        <v>39.199651360432426</v>
      </c>
      <c r="I67">
        <v>108</v>
      </c>
      <c r="J67">
        <f t="shared" si="46"/>
        <v>0</v>
      </c>
      <c r="K67">
        <f t="shared" si="45"/>
        <v>0</v>
      </c>
      <c r="L67">
        <f t="shared" si="45"/>
        <v>0</v>
      </c>
      <c r="M67">
        <f t="shared" si="45"/>
        <v>0</v>
      </c>
      <c r="N67">
        <f t="shared" si="45"/>
        <v>0</v>
      </c>
      <c r="O67">
        <f t="shared" si="47"/>
        <v>0</v>
      </c>
    </row>
    <row r="68" spans="1:15" x14ac:dyDescent="0.3">
      <c r="A68" t="s">
        <v>150</v>
      </c>
      <c r="B68">
        <f>C58</f>
        <v>10</v>
      </c>
      <c r="C68" s="5">
        <f>G51</f>
        <v>0.62522319631446099</v>
      </c>
      <c r="D68" s="5">
        <f>L51</f>
        <v>-0.96135072596915994</v>
      </c>
      <c r="E68" s="5">
        <f>Q51</f>
        <v>-0.26478921560089197</v>
      </c>
      <c r="I68">
        <v>109</v>
      </c>
      <c r="J68">
        <f t="shared" si="46"/>
        <v>0</v>
      </c>
      <c r="K68">
        <f t="shared" si="45"/>
        <v>0</v>
      </c>
      <c r="L68">
        <f t="shared" si="45"/>
        <v>0</v>
      </c>
      <c r="M68">
        <f t="shared" si="45"/>
        <v>0</v>
      </c>
      <c r="N68">
        <f t="shared" si="45"/>
        <v>0</v>
      </c>
      <c r="O68">
        <f t="shared" si="47"/>
        <v>0</v>
      </c>
    </row>
    <row r="69" spans="1:15" x14ac:dyDescent="0.3">
      <c r="A69" t="s">
        <v>151</v>
      </c>
      <c r="B69">
        <f>C59</f>
        <v>-10</v>
      </c>
      <c r="C69" s="5">
        <f>I51</f>
        <v>9.9532771933405748E-2</v>
      </c>
      <c r="D69" s="5">
        <f>N51</f>
        <v>0.50502450051902648</v>
      </c>
      <c r="E69" s="5">
        <f>S51</f>
        <v>-0.90112602872061498</v>
      </c>
      <c r="I69">
        <v>110</v>
      </c>
      <c r="J69">
        <f t="shared" si="46"/>
        <v>0</v>
      </c>
      <c r="K69">
        <f t="shared" si="45"/>
        <v>0</v>
      </c>
      <c r="L69">
        <f t="shared" si="45"/>
        <v>0</v>
      </c>
      <c r="M69">
        <f t="shared" si="45"/>
        <v>0</v>
      </c>
      <c r="N69">
        <f t="shared" si="45"/>
        <v>0</v>
      </c>
      <c r="O69">
        <f t="shared" si="47"/>
        <v>0</v>
      </c>
    </row>
    <row r="70" spans="1:15" x14ac:dyDescent="0.3">
      <c r="A70" t="s">
        <v>154</v>
      </c>
      <c r="C70" s="21">
        <f>SUMPRODUCT($B65:$B69, C65:C69)/100</f>
        <v>0.13224305019174967</v>
      </c>
      <c r="D70" s="21">
        <f t="shared" ref="D70:E70" si="48">SUMPRODUCT($B65:$B69, D65:D69)/100</f>
        <v>-0.36376823519741303</v>
      </c>
      <c r="E70" s="21">
        <f t="shared" si="48"/>
        <v>0.16057540986836247</v>
      </c>
      <c r="I70">
        <v>111</v>
      </c>
      <c r="J70">
        <f t="shared" si="46"/>
        <v>0</v>
      </c>
      <c r="K70">
        <f t="shared" si="45"/>
        <v>0</v>
      </c>
      <c r="L70">
        <f t="shared" si="45"/>
        <v>0</v>
      </c>
      <c r="M70">
        <f t="shared" si="45"/>
        <v>0</v>
      </c>
      <c r="N70">
        <f t="shared" si="45"/>
        <v>0</v>
      </c>
      <c r="O70">
        <f t="shared" si="47"/>
        <v>0</v>
      </c>
    </row>
    <row r="71" spans="1:15" x14ac:dyDescent="0.3">
      <c r="I71">
        <v>112</v>
      </c>
      <c r="J71">
        <f t="shared" si="46"/>
        <v>0</v>
      </c>
      <c r="K71">
        <f t="shared" si="45"/>
        <v>0</v>
      </c>
      <c r="L71">
        <f t="shared" si="45"/>
        <v>0</v>
      </c>
      <c r="M71">
        <f t="shared" si="45"/>
        <v>0</v>
      </c>
      <c r="N71">
        <f t="shared" si="45"/>
        <v>0</v>
      </c>
      <c r="O71">
        <f t="shared" si="47"/>
        <v>0</v>
      </c>
    </row>
    <row r="72" spans="1:15" x14ac:dyDescent="0.3">
      <c r="I72">
        <v>113</v>
      </c>
      <c r="J72">
        <f t="shared" si="46"/>
        <v>0</v>
      </c>
      <c r="K72">
        <f t="shared" si="45"/>
        <v>0</v>
      </c>
      <c r="L72">
        <f t="shared" si="45"/>
        <v>0</v>
      </c>
      <c r="M72">
        <f t="shared" si="45"/>
        <v>0</v>
      </c>
      <c r="N72">
        <f t="shared" si="45"/>
        <v>0</v>
      </c>
      <c r="O72">
        <f t="shared" si="47"/>
        <v>0</v>
      </c>
    </row>
    <row r="73" spans="1:15" x14ac:dyDescent="0.3">
      <c r="I73">
        <v>114</v>
      </c>
      <c r="J73">
        <f t="shared" si="46"/>
        <v>0</v>
      </c>
      <c r="K73">
        <f t="shared" si="45"/>
        <v>0</v>
      </c>
      <c r="L73">
        <f t="shared" si="45"/>
        <v>0</v>
      </c>
      <c r="M73">
        <f t="shared" si="45"/>
        <v>0</v>
      </c>
      <c r="N73">
        <f t="shared" si="45"/>
        <v>0</v>
      </c>
      <c r="O73">
        <f t="shared" si="47"/>
        <v>0</v>
      </c>
    </row>
    <row r="74" spans="1:15" x14ac:dyDescent="0.3">
      <c r="I74">
        <v>115</v>
      </c>
      <c r="J74">
        <f t="shared" si="46"/>
        <v>0</v>
      </c>
      <c r="K74">
        <f t="shared" si="45"/>
        <v>0</v>
      </c>
      <c r="L74">
        <f t="shared" si="45"/>
        <v>0</v>
      </c>
      <c r="M74">
        <f t="shared" si="45"/>
        <v>0</v>
      </c>
      <c r="N74">
        <f t="shared" si="45"/>
        <v>0</v>
      </c>
      <c r="O74">
        <f t="shared" si="47"/>
        <v>0</v>
      </c>
    </row>
    <row r="75" spans="1:15" x14ac:dyDescent="0.3">
      <c r="I75">
        <v>116</v>
      </c>
      <c r="J75">
        <f t="shared" si="46"/>
        <v>0</v>
      </c>
      <c r="K75">
        <f t="shared" si="46"/>
        <v>0</v>
      </c>
      <c r="L75">
        <f t="shared" si="46"/>
        <v>0</v>
      </c>
      <c r="M75">
        <f t="shared" si="46"/>
        <v>0</v>
      </c>
      <c r="N75">
        <f t="shared" si="46"/>
        <v>0</v>
      </c>
      <c r="O75">
        <f t="shared" si="47"/>
        <v>0</v>
      </c>
    </row>
    <row r="76" spans="1:15" x14ac:dyDescent="0.3">
      <c r="I76">
        <v>117</v>
      </c>
      <c r="J76">
        <f t="shared" si="46"/>
        <v>0</v>
      </c>
      <c r="K76">
        <f t="shared" si="46"/>
        <v>0</v>
      </c>
      <c r="L76">
        <f t="shared" si="46"/>
        <v>0</v>
      </c>
      <c r="M76">
        <f t="shared" si="46"/>
        <v>0</v>
      </c>
      <c r="N76">
        <f t="shared" si="46"/>
        <v>0</v>
      </c>
      <c r="O76">
        <f t="shared" si="47"/>
        <v>0</v>
      </c>
    </row>
    <row r="77" spans="1:15" x14ac:dyDescent="0.3">
      <c r="I77">
        <v>118</v>
      </c>
      <c r="J77">
        <f t="shared" si="46"/>
        <v>0</v>
      </c>
      <c r="K77">
        <f t="shared" si="46"/>
        <v>0</v>
      </c>
      <c r="L77">
        <f t="shared" si="46"/>
        <v>0</v>
      </c>
      <c r="M77">
        <f t="shared" si="46"/>
        <v>0</v>
      </c>
      <c r="N77">
        <f t="shared" si="46"/>
        <v>0</v>
      </c>
      <c r="O77">
        <f t="shared" si="47"/>
        <v>0</v>
      </c>
    </row>
    <row r="78" spans="1:15" x14ac:dyDescent="0.3">
      <c r="I78">
        <v>119</v>
      </c>
      <c r="J78">
        <f t="shared" si="46"/>
        <v>0</v>
      </c>
      <c r="K78">
        <f t="shared" si="46"/>
        <v>0</v>
      </c>
      <c r="L78">
        <f t="shared" si="46"/>
        <v>0</v>
      </c>
      <c r="M78">
        <f t="shared" si="46"/>
        <v>0</v>
      </c>
      <c r="N78">
        <f t="shared" si="46"/>
        <v>0</v>
      </c>
      <c r="O78">
        <f t="shared" si="47"/>
        <v>0</v>
      </c>
    </row>
    <row r="79" spans="1:15" x14ac:dyDescent="0.3">
      <c r="I79">
        <v>120</v>
      </c>
      <c r="J79">
        <f t="shared" si="46"/>
        <v>0</v>
      </c>
      <c r="K79">
        <f t="shared" si="46"/>
        <v>0</v>
      </c>
      <c r="L79">
        <f t="shared" si="46"/>
        <v>0</v>
      </c>
      <c r="M79">
        <f t="shared" si="46"/>
        <v>0</v>
      </c>
      <c r="N79">
        <f t="shared" si="46"/>
        <v>0</v>
      </c>
      <c r="O79">
        <f t="shared" si="47"/>
        <v>0</v>
      </c>
    </row>
    <row r="80" spans="1:15" x14ac:dyDescent="0.3">
      <c r="I80">
        <v>121</v>
      </c>
      <c r="J80">
        <f t="shared" si="46"/>
        <v>0</v>
      </c>
      <c r="K80">
        <f t="shared" si="46"/>
        <v>0</v>
      </c>
      <c r="L80">
        <f t="shared" si="46"/>
        <v>0</v>
      </c>
      <c r="M80">
        <f t="shared" si="46"/>
        <v>0</v>
      </c>
      <c r="N80">
        <f t="shared" si="46"/>
        <v>0</v>
      </c>
      <c r="O80">
        <f t="shared" si="47"/>
        <v>0</v>
      </c>
    </row>
    <row r="81" spans="9:15" x14ac:dyDescent="0.3">
      <c r="I81">
        <v>122</v>
      </c>
      <c r="J81">
        <f t="shared" si="46"/>
        <v>0</v>
      </c>
      <c r="K81">
        <f t="shared" si="46"/>
        <v>0</v>
      </c>
      <c r="L81">
        <f t="shared" si="46"/>
        <v>0</v>
      </c>
      <c r="M81">
        <f t="shared" si="46"/>
        <v>0</v>
      </c>
      <c r="N81">
        <f t="shared" si="46"/>
        <v>0</v>
      </c>
      <c r="O81">
        <f t="shared" si="47"/>
        <v>0</v>
      </c>
    </row>
    <row r="82" spans="9:15" x14ac:dyDescent="0.3">
      <c r="I82">
        <v>123</v>
      </c>
      <c r="J82">
        <f t="shared" si="46"/>
        <v>0</v>
      </c>
      <c r="K82">
        <f t="shared" si="46"/>
        <v>0</v>
      </c>
      <c r="L82">
        <f t="shared" si="46"/>
        <v>0</v>
      </c>
      <c r="M82">
        <f t="shared" si="46"/>
        <v>0</v>
      </c>
      <c r="N82">
        <f t="shared" si="46"/>
        <v>0</v>
      </c>
      <c r="O82">
        <f t="shared" si="47"/>
        <v>0</v>
      </c>
    </row>
    <row r="83" spans="9:15" x14ac:dyDescent="0.3">
      <c r="I83">
        <v>124.99</v>
      </c>
      <c r="J83">
        <f t="shared" si="46"/>
        <v>0</v>
      </c>
      <c r="K83">
        <f t="shared" si="46"/>
        <v>0</v>
      </c>
      <c r="L83">
        <f t="shared" si="46"/>
        <v>0</v>
      </c>
      <c r="M83">
        <f t="shared" si="46"/>
        <v>0</v>
      </c>
      <c r="N83">
        <f t="shared" si="46"/>
        <v>0</v>
      </c>
      <c r="O83">
        <f t="shared" si="47"/>
        <v>0</v>
      </c>
    </row>
    <row r="84" spans="9:15" x14ac:dyDescent="0.3">
      <c r="I84">
        <v>125</v>
      </c>
      <c r="J84">
        <f t="shared" si="46"/>
        <v>0</v>
      </c>
      <c r="K84">
        <f t="shared" si="46"/>
        <v>0</v>
      </c>
      <c r="L84">
        <f t="shared" si="46"/>
        <v>0</v>
      </c>
      <c r="M84">
        <f t="shared" si="46"/>
        <v>10</v>
      </c>
      <c r="N84">
        <f t="shared" si="46"/>
        <v>0</v>
      </c>
      <c r="O84">
        <f t="shared" si="47"/>
        <v>10</v>
      </c>
    </row>
    <row r="85" spans="9:15" x14ac:dyDescent="0.3">
      <c r="I85">
        <v>125.01</v>
      </c>
      <c r="J85">
        <f t="shared" si="46"/>
        <v>1.0000000000005116E-2</v>
      </c>
      <c r="K85">
        <f t="shared" si="46"/>
        <v>0</v>
      </c>
      <c r="L85">
        <f t="shared" si="46"/>
        <v>0</v>
      </c>
      <c r="M85">
        <f t="shared" si="46"/>
        <v>10</v>
      </c>
      <c r="N85">
        <f t="shared" si="46"/>
        <v>0</v>
      </c>
      <c r="O85">
        <f t="shared" si="47"/>
        <v>10.010000000000005</v>
      </c>
    </row>
    <row r="86" spans="9:15" x14ac:dyDescent="0.3">
      <c r="I86">
        <v>127</v>
      </c>
      <c r="J86">
        <f t="shared" si="46"/>
        <v>2</v>
      </c>
      <c r="K86">
        <f t="shared" si="46"/>
        <v>0</v>
      </c>
      <c r="L86">
        <f t="shared" si="46"/>
        <v>0</v>
      </c>
      <c r="M86">
        <f t="shared" si="46"/>
        <v>10</v>
      </c>
      <c r="N86">
        <f t="shared" si="46"/>
        <v>0</v>
      </c>
      <c r="O86">
        <f t="shared" si="47"/>
        <v>12</v>
      </c>
    </row>
    <row r="87" spans="9:15" x14ac:dyDescent="0.3">
      <c r="I87">
        <v>128</v>
      </c>
      <c r="J87">
        <f t="shared" si="46"/>
        <v>3</v>
      </c>
      <c r="K87">
        <f t="shared" si="46"/>
        <v>0</v>
      </c>
      <c r="L87">
        <f t="shared" si="46"/>
        <v>0</v>
      </c>
      <c r="M87">
        <f t="shared" si="46"/>
        <v>10</v>
      </c>
      <c r="N87">
        <f t="shared" si="46"/>
        <v>0</v>
      </c>
      <c r="O87">
        <f t="shared" si="47"/>
        <v>13</v>
      </c>
    </row>
    <row r="88" spans="9:15" x14ac:dyDescent="0.3">
      <c r="I88">
        <v>129</v>
      </c>
      <c r="J88">
        <f t="shared" si="46"/>
        <v>4</v>
      </c>
      <c r="K88">
        <f t="shared" si="46"/>
        <v>0</v>
      </c>
      <c r="L88">
        <f t="shared" si="46"/>
        <v>0</v>
      </c>
      <c r="M88">
        <f t="shared" si="46"/>
        <v>10</v>
      </c>
      <c r="N88">
        <f t="shared" si="46"/>
        <v>0</v>
      </c>
      <c r="O88">
        <f t="shared" si="47"/>
        <v>14</v>
      </c>
    </row>
    <row r="89" spans="9:15" x14ac:dyDescent="0.3">
      <c r="I89">
        <v>130</v>
      </c>
      <c r="J89">
        <f t="shared" si="46"/>
        <v>5</v>
      </c>
      <c r="K89">
        <f t="shared" si="46"/>
        <v>0</v>
      </c>
      <c r="L89">
        <f t="shared" si="46"/>
        <v>0</v>
      </c>
      <c r="M89">
        <f t="shared" si="46"/>
        <v>10</v>
      </c>
      <c r="N89">
        <f t="shared" si="46"/>
        <v>0</v>
      </c>
      <c r="O89">
        <f t="shared" si="47"/>
        <v>15</v>
      </c>
    </row>
    <row r="90" spans="9:15" x14ac:dyDescent="0.3">
      <c r="I90">
        <v>131</v>
      </c>
      <c r="J90">
        <f t="shared" si="46"/>
        <v>6</v>
      </c>
      <c r="K90">
        <f t="shared" si="46"/>
        <v>0</v>
      </c>
      <c r="L90">
        <f t="shared" si="46"/>
        <v>0</v>
      </c>
      <c r="M90">
        <f t="shared" si="46"/>
        <v>10</v>
      </c>
      <c r="N90">
        <f t="shared" si="46"/>
        <v>0</v>
      </c>
      <c r="O90">
        <f t="shared" si="47"/>
        <v>16</v>
      </c>
    </row>
    <row r="91" spans="9:15" x14ac:dyDescent="0.3">
      <c r="I91">
        <v>132</v>
      </c>
      <c r="J91">
        <f t="shared" si="46"/>
        <v>7</v>
      </c>
      <c r="K91">
        <f t="shared" si="46"/>
        <v>0</v>
      </c>
      <c r="L91">
        <f t="shared" si="46"/>
        <v>0</v>
      </c>
      <c r="M91">
        <f t="shared" si="46"/>
        <v>10</v>
      </c>
      <c r="N91">
        <f t="shared" si="46"/>
        <v>0</v>
      </c>
      <c r="O91">
        <f t="shared" si="47"/>
        <v>17</v>
      </c>
    </row>
    <row r="92" spans="9:15" x14ac:dyDescent="0.3">
      <c r="I92">
        <v>133</v>
      </c>
      <c r="J92">
        <f t="shared" ref="J92:N123" si="49">IF(J$55="Vanilla", MAX($I92-J$56, 0), $I92&gt;=J$56)*J$57</f>
        <v>8</v>
      </c>
      <c r="K92">
        <f t="shared" si="49"/>
        <v>0</v>
      </c>
      <c r="L92">
        <f t="shared" si="49"/>
        <v>0</v>
      </c>
      <c r="M92">
        <f t="shared" si="49"/>
        <v>10</v>
      </c>
      <c r="N92">
        <f t="shared" si="49"/>
        <v>0</v>
      </c>
      <c r="O92">
        <f t="shared" si="47"/>
        <v>18</v>
      </c>
    </row>
    <row r="93" spans="9:15" x14ac:dyDescent="0.3">
      <c r="I93">
        <v>134</v>
      </c>
      <c r="J93">
        <f t="shared" si="49"/>
        <v>9</v>
      </c>
      <c r="K93">
        <f t="shared" si="49"/>
        <v>0</v>
      </c>
      <c r="L93">
        <f t="shared" si="49"/>
        <v>0</v>
      </c>
      <c r="M93">
        <f t="shared" si="49"/>
        <v>10</v>
      </c>
      <c r="N93">
        <f t="shared" si="49"/>
        <v>0</v>
      </c>
      <c r="O93">
        <f t="shared" si="47"/>
        <v>19</v>
      </c>
    </row>
    <row r="94" spans="9:15" x14ac:dyDescent="0.3">
      <c r="I94">
        <v>135</v>
      </c>
      <c r="J94">
        <f t="shared" si="49"/>
        <v>10</v>
      </c>
      <c r="K94">
        <f t="shared" si="49"/>
        <v>0</v>
      </c>
      <c r="L94">
        <f t="shared" si="49"/>
        <v>0</v>
      </c>
      <c r="M94">
        <f t="shared" si="49"/>
        <v>10</v>
      </c>
      <c r="N94">
        <f t="shared" si="49"/>
        <v>0</v>
      </c>
      <c r="O94">
        <f t="shared" si="47"/>
        <v>20</v>
      </c>
    </row>
    <row r="95" spans="9:15" x14ac:dyDescent="0.3">
      <c r="I95">
        <v>136</v>
      </c>
      <c r="J95">
        <f t="shared" si="49"/>
        <v>11</v>
      </c>
      <c r="K95">
        <f t="shared" si="49"/>
        <v>0</v>
      </c>
      <c r="L95">
        <f t="shared" si="49"/>
        <v>0</v>
      </c>
      <c r="M95">
        <f t="shared" si="49"/>
        <v>10</v>
      </c>
      <c r="N95">
        <f t="shared" si="49"/>
        <v>0</v>
      </c>
      <c r="O95">
        <f t="shared" si="47"/>
        <v>21</v>
      </c>
    </row>
    <row r="96" spans="9:15" x14ac:dyDescent="0.3">
      <c r="I96">
        <v>137</v>
      </c>
      <c r="J96">
        <f t="shared" si="49"/>
        <v>12</v>
      </c>
      <c r="K96">
        <f t="shared" si="49"/>
        <v>0</v>
      </c>
      <c r="L96">
        <f t="shared" si="49"/>
        <v>0</v>
      </c>
      <c r="M96">
        <f t="shared" si="49"/>
        <v>10</v>
      </c>
      <c r="N96">
        <f t="shared" si="49"/>
        <v>0</v>
      </c>
      <c r="O96">
        <f t="shared" si="47"/>
        <v>22</v>
      </c>
    </row>
    <row r="97" spans="9:15" x14ac:dyDescent="0.3">
      <c r="I97">
        <v>138</v>
      </c>
      <c r="J97">
        <f t="shared" si="49"/>
        <v>13</v>
      </c>
      <c r="K97">
        <f t="shared" si="49"/>
        <v>0</v>
      </c>
      <c r="L97">
        <f t="shared" si="49"/>
        <v>0</v>
      </c>
      <c r="M97">
        <f t="shared" si="49"/>
        <v>10</v>
      </c>
      <c r="N97">
        <f t="shared" si="49"/>
        <v>0</v>
      </c>
      <c r="O97">
        <f t="shared" si="47"/>
        <v>23</v>
      </c>
    </row>
    <row r="98" spans="9:15" x14ac:dyDescent="0.3">
      <c r="I98">
        <v>139</v>
      </c>
      <c r="J98">
        <f t="shared" si="49"/>
        <v>14</v>
      </c>
      <c r="K98">
        <f t="shared" si="49"/>
        <v>0</v>
      </c>
      <c r="L98">
        <f t="shared" si="49"/>
        <v>0</v>
      </c>
      <c r="M98">
        <f t="shared" si="49"/>
        <v>10</v>
      </c>
      <c r="N98">
        <f t="shared" si="49"/>
        <v>0</v>
      </c>
      <c r="O98">
        <f t="shared" si="47"/>
        <v>24</v>
      </c>
    </row>
    <row r="99" spans="9:15" x14ac:dyDescent="0.3">
      <c r="I99">
        <v>140</v>
      </c>
      <c r="J99">
        <f t="shared" si="49"/>
        <v>15</v>
      </c>
      <c r="K99">
        <f t="shared" si="49"/>
        <v>0</v>
      </c>
      <c r="L99">
        <f t="shared" si="49"/>
        <v>0</v>
      </c>
      <c r="M99">
        <f t="shared" si="49"/>
        <v>10</v>
      </c>
      <c r="N99">
        <f t="shared" si="49"/>
        <v>0</v>
      </c>
      <c r="O99">
        <f t="shared" si="47"/>
        <v>25</v>
      </c>
    </row>
    <row r="100" spans="9:15" x14ac:dyDescent="0.3">
      <c r="I100">
        <v>141</v>
      </c>
      <c r="J100">
        <f t="shared" si="49"/>
        <v>16</v>
      </c>
      <c r="K100">
        <f t="shared" si="49"/>
        <v>0</v>
      </c>
      <c r="L100">
        <f t="shared" si="49"/>
        <v>0</v>
      </c>
      <c r="M100">
        <f t="shared" si="49"/>
        <v>10</v>
      </c>
      <c r="N100">
        <f t="shared" si="49"/>
        <v>0</v>
      </c>
      <c r="O100">
        <f t="shared" si="47"/>
        <v>26</v>
      </c>
    </row>
    <row r="101" spans="9:15" x14ac:dyDescent="0.3">
      <c r="I101">
        <v>142</v>
      </c>
      <c r="J101">
        <f t="shared" si="49"/>
        <v>17</v>
      </c>
      <c r="K101">
        <f t="shared" si="49"/>
        <v>0</v>
      </c>
      <c r="L101">
        <f t="shared" si="49"/>
        <v>0</v>
      </c>
      <c r="M101">
        <f t="shared" si="49"/>
        <v>10</v>
      </c>
      <c r="N101">
        <f t="shared" si="49"/>
        <v>0</v>
      </c>
      <c r="O101">
        <f t="shared" si="47"/>
        <v>27</v>
      </c>
    </row>
    <row r="102" spans="9:15" x14ac:dyDescent="0.3">
      <c r="I102">
        <v>143</v>
      </c>
      <c r="J102">
        <f t="shared" si="49"/>
        <v>18</v>
      </c>
      <c r="K102">
        <f t="shared" si="49"/>
        <v>0</v>
      </c>
      <c r="L102">
        <f t="shared" si="49"/>
        <v>0</v>
      </c>
      <c r="M102">
        <f t="shared" si="49"/>
        <v>10</v>
      </c>
      <c r="N102">
        <f t="shared" si="49"/>
        <v>0</v>
      </c>
      <c r="O102">
        <f t="shared" si="47"/>
        <v>28</v>
      </c>
    </row>
    <row r="103" spans="9:15" x14ac:dyDescent="0.3">
      <c r="I103">
        <v>144</v>
      </c>
      <c r="J103">
        <f t="shared" si="49"/>
        <v>19</v>
      </c>
      <c r="K103">
        <f t="shared" si="49"/>
        <v>0</v>
      </c>
      <c r="L103">
        <f t="shared" si="49"/>
        <v>0</v>
      </c>
      <c r="M103">
        <f t="shared" si="49"/>
        <v>10</v>
      </c>
      <c r="N103">
        <f t="shared" si="49"/>
        <v>0</v>
      </c>
      <c r="O103">
        <f t="shared" si="47"/>
        <v>29</v>
      </c>
    </row>
    <row r="104" spans="9:15" x14ac:dyDescent="0.3">
      <c r="I104">
        <v>145</v>
      </c>
      <c r="J104">
        <f t="shared" si="49"/>
        <v>20</v>
      </c>
      <c r="K104">
        <f t="shared" si="49"/>
        <v>0</v>
      </c>
      <c r="L104">
        <f t="shared" si="49"/>
        <v>0</v>
      </c>
      <c r="M104">
        <f t="shared" si="49"/>
        <v>10</v>
      </c>
      <c r="N104">
        <f t="shared" si="49"/>
        <v>0</v>
      </c>
      <c r="O104">
        <f t="shared" si="47"/>
        <v>30</v>
      </c>
    </row>
    <row r="105" spans="9:15" x14ac:dyDescent="0.3">
      <c r="I105">
        <v>146</v>
      </c>
      <c r="J105">
        <f t="shared" si="49"/>
        <v>21</v>
      </c>
      <c r="K105">
        <f t="shared" si="49"/>
        <v>0</v>
      </c>
      <c r="L105">
        <f t="shared" si="49"/>
        <v>0</v>
      </c>
      <c r="M105">
        <f t="shared" si="49"/>
        <v>10</v>
      </c>
      <c r="N105">
        <f t="shared" si="49"/>
        <v>0</v>
      </c>
      <c r="O105">
        <f t="shared" si="47"/>
        <v>31</v>
      </c>
    </row>
    <row r="106" spans="9:15" x14ac:dyDescent="0.3">
      <c r="I106">
        <v>147</v>
      </c>
      <c r="J106">
        <f t="shared" si="49"/>
        <v>22</v>
      </c>
      <c r="K106">
        <f t="shared" si="49"/>
        <v>0</v>
      </c>
      <c r="L106">
        <f t="shared" si="49"/>
        <v>0</v>
      </c>
      <c r="M106">
        <f t="shared" si="49"/>
        <v>10</v>
      </c>
      <c r="N106">
        <f t="shared" si="49"/>
        <v>0</v>
      </c>
      <c r="O106">
        <f t="shared" si="47"/>
        <v>32</v>
      </c>
    </row>
    <row r="107" spans="9:15" x14ac:dyDescent="0.3">
      <c r="I107">
        <v>148</v>
      </c>
      <c r="J107">
        <f t="shared" si="49"/>
        <v>23</v>
      </c>
      <c r="K107">
        <f t="shared" si="49"/>
        <v>0</v>
      </c>
      <c r="L107">
        <f t="shared" si="49"/>
        <v>0</v>
      </c>
      <c r="M107">
        <f t="shared" si="49"/>
        <v>10</v>
      </c>
      <c r="N107">
        <f t="shared" si="49"/>
        <v>0</v>
      </c>
      <c r="O107">
        <f t="shared" si="47"/>
        <v>33</v>
      </c>
    </row>
    <row r="108" spans="9:15" x14ac:dyDescent="0.3">
      <c r="I108">
        <v>149</v>
      </c>
      <c r="J108">
        <f t="shared" si="49"/>
        <v>24</v>
      </c>
      <c r="K108">
        <f t="shared" si="49"/>
        <v>0</v>
      </c>
      <c r="L108">
        <f t="shared" si="49"/>
        <v>0</v>
      </c>
      <c r="M108">
        <f t="shared" si="49"/>
        <v>10</v>
      </c>
      <c r="N108">
        <f t="shared" si="49"/>
        <v>0</v>
      </c>
      <c r="O108">
        <f t="shared" si="47"/>
        <v>34</v>
      </c>
    </row>
    <row r="109" spans="9:15" x14ac:dyDescent="0.3">
      <c r="I109">
        <v>150</v>
      </c>
      <c r="J109">
        <f t="shared" si="49"/>
        <v>25</v>
      </c>
      <c r="K109">
        <f t="shared" si="49"/>
        <v>0</v>
      </c>
      <c r="L109">
        <f t="shared" si="49"/>
        <v>0</v>
      </c>
      <c r="M109">
        <f t="shared" si="49"/>
        <v>10</v>
      </c>
      <c r="N109">
        <f t="shared" si="49"/>
        <v>0</v>
      </c>
      <c r="O109">
        <f t="shared" si="47"/>
        <v>35</v>
      </c>
    </row>
    <row r="110" spans="9:15" x14ac:dyDescent="0.3">
      <c r="I110">
        <v>151</v>
      </c>
      <c r="J110">
        <f t="shared" si="49"/>
        <v>26</v>
      </c>
      <c r="K110">
        <f t="shared" si="49"/>
        <v>-2</v>
      </c>
      <c r="L110">
        <f t="shared" si="49"/>
        <v>0</v>
      </c>
      <c r="M110">
        <f t="shared" si="49"/>
        <v>10</v>
      </c>
      <c r="N110">
        <f t="shared" si="49"/>
        <v>0</v>
      </c>
      <c r="O110">
        <f t="shared" si="47"/>
        <v>34</v>
      </c>
    </row>
    <row r="111" spans="9:15" x14ac:dyDescent="0.3">
      <c r="I111">
        <v>152</v>
      </c>
      <c r="J111">
        <f t="shared" si="49"/>
        <v>27</v>
      </c>
      <c r="K111">
        <f t="shared" si="49"/>
        <v>-4</v>
      </c>
      <c r="L111">
        <f t="shared" si="49"/>
        <v>0</v>
      </c>
      <c r="M111">
        <f t="shared" si="49"/>
        <v>10</v>
      </c>
      <c r="N111">
        <f t="shared" si="49"/>
        <v>0</v>
      </c>
      <c r="O111">
        <f t="shared" si="47"/>
        <v>33</v>
      </c>
    </row>
    <row r="112" spans="9:15" x14ac:dyDescent="0.3">
      <c r="I112">
        <v>153</v>
      </c>
      <c r="J112">
        <f t="shared" si="49"/>
        <v>28</v>
      </c>
      <c r="K112">
        <f t="shared" si="49"/>
        <v>-6</v>
      </c>
      <c r="L112">
        <f t="shared" si="49"/>
        <v>0</v>
      </c>
      <c r="M112">
        <f t="shared" si="49"/>
        <v>10</v>
      </c>
      <c r="N112">
        <f t="shared" si="49"/>
        <v>0</v>
      </c>
      <c r="O112">
        <f t="shared" si="47"/>
        <v>32</v>
      </c>
    </row>
    <row r="113" spans="9:15" x14ac:dyDescent="0.3">
      <c r="I113">
        <v>154</v>
      </c>
      <c r="J113">
        <f t="shared" si="49"/>
        <v>29</v>
      </c>
      <c r="K113">
        <f t="shared" si="49"/>
        <v>-8</v>
      </c>
      <c r="L113">
        <f t="shared" si="49"/>
        <v>0</v>
      </c>
      <c r="M113">
        <f t="shared" si="49"/>
        <v>10</v>
      </c>
      <c r="N113">
        <f t="shared" si="49"/>
        <v>0</v>
      </c>
      <c r="O113">
        <f t="shared" si="47"/>
        <v>31</v>
      </c>
    </row>
    <row r="114" spans="9:15" x14ac:dyDescent="0.3">
      <c r="I114">
        <v>155</v>
      </c>
      <c r="J114">
        <f t="shared" si="49"/>
        <v>30</v>
      </c>
      <c r="K114">
        <f t="shared" si="49"/>
        <v>-10</v>
      </c>
      <c r="L114">
        <f t="shared" si="49"/>
        <v>0</v>
      </c>
      <c r="M114">
        <f t="shared" si="49"/>
        <v>10</v>
      </c>
      <c r="N114">
        <f t="shared" si="49"/>
        <v>0</v>
      </c>
      <c r="O114">
        <f t="shared" si="47"/>
        <v>30</v>
      </c>
    </row>
    <row r="115" spans="9:15" x14ac:dyDescent="0.3">
      <c r="I115">
        <v>156</v>
      </c>
      <c r="J115">
        <f t="shared" si="49"/>
        <v>31</v>
      </c>
      <c r="K115">
        <f t="shared" si="49"/>
        <v>-12</v>
      </c>
      <c r="L115">
        <f t="shared" si="49"/>
        <v>0</v>
      </c>
      <c r="M115">
        <f t="shared" si="49"/>
        <v>10</v>
      </c>
      <c r="N115">
        <f t="shared" si="49"/>
        <v>0</v>
      </c>
      <c r="O115">
        <f t="shared" si="47"/>
        <v>29</v>
      </c>
    </row>
    <row r="116" spans="9:15" x14ac:dyDescent="0.3">
      <c r="I116">
        <v>157</v>
      </c>
      <c r="J116">
        <f t="shared" si="49"/>
        <v>32</v>
      </c>
      <c r="K116">
        <f t="shared" si="49"/>
        <v>-14</v>
      </c>
      <c r="L116">
        <f t="shared" si="49"/>
        <v>0</v>
      </c>
      <c r="M116">
        <f t="shared" si="49"/>
        <v>10</v>
      </c>
      <c r="N116">
        <f t="shared" si="49"/>
        <v>0</v>
      </c>
      <c r="O116">
        <f t="shared" si="47"/>
        <v>28</v>
      </c>
    </row>
    <row r="117" spans="9:15" x14ac:dyDescent="0.3">
      <c r="I117">
        <v>158</v>
      </c>
      <c r="J117">
        <f t="shared" si="49"/>
        <v>33</v>
      </c>
      <c r="K117">
        <f t="shared" si="49"/>
        <v>-16</v>
      </c>
      <c r="L117">
        <f t="shared" si="49"/>
        <v>0</v>
      </c>
      <c r="M117">
        <f t="shared" si="49"/>
        <v>10</v>
      </c>
      <c r="N117">
        <f t="shared" si="49"/>
        <v>0</v>
      </c>
      <c r="O117">
        <f t="shared" si="47"/>
        <v>27</v>
      </c>
    </row>
    <row r="118" spans="9:15" x14ac:dyDescent="0.3">
      <c r="I118">
        <v>159</v>
      </c>
      <c r="J118">
        <f t="shared" si="49"/>
        <v>34</v>
      </c>
      <c r="K118">
        <f t="shared" si="49"/>
        <v>-18</v>
      </c>
      <c r="L118">
        <f t="shared" si="49"/>
        <v>0</v>
      </c>
      <c r="M118">
        <f t="shared" si="49"/>
        <v>10</v>
      </c>
      <c r="N118">
        <f t="shared" si="49"/>
        <v>0</v>
      </c>
      <c r="O118">
        <f t="shared" si="47"/>
        <v>26</v>
      </c>
    </row>
    <row r="119" spans="9:15" x14ac:dyDescent="0.3">
      <c r="I119">
        <v>160</v>
      </c>
      <c r="J119">
        <f t="shared" si="49"/>
        <v>35</v>
      </c>
      <c r="K119">
        <f t="shared" si="49"/>
        <v>-20</v>
      </c>
      <c r="L119">
        <f t="shared" si="49"/>
        <v>0</v>
      </c>
      <c r="M119">
        <f t="shared" si="49"/>
        <v>10</v>
      </c>
      <c r="N119">
        <f t="shared" si="49"/>
        <v>0</v>
      </c>
      <c r="O119">
        <f t="shared" si="47"/>
        <v>25</v>
      </c>
    </row>
    <row r="120" spans="9:15" x14ac:dyDescent="0.3">
      <c r="I120">
        <v>161</v>
      </c>
      <c r="J120">
        <f t="shared" si="49"/>
        <v>36</v>
      </c>
      <c r="K120">
        <f t="shared" si="49"/>
        <v>-22</v>
      </c>
      <c r="L120">
        <f t="shared" si="49"/>
        <v>0</v>
      </c>
      <c r="M120">
        <f t="shared" si="49"/>
        <v>10</v>
      </c>
      <c r="N120">
        <f t="shared" si="49"/>
        <v>0</v>
      </c>
      <c r="O120">
        <f t="shared" si="47"/>
        <v>24</v>
      </c>
    </row>
    <row r="121" spans="9:15" x14ac:dyDescent="0.3">
      <c r="I121">
        <v>162</v>
      </c>
      <c r="J121">
        <f t="shared" si="49"/>
        <v>37</v>
      </c>
      <c r="K121">
        <f t="shared" si="49"/>
        <v>-24</v>
      </c>
      <c r="L121">
        <f t="shared" si="49"/>
        <v>0</v>
      </c>
      <c r="M121">
        <f t="shared" si="49"/>
        <v>10</v>
      </c>
      <c r="N121">
        <f t="shared" si="49"/>
        <v>0</v>
      </c>
      <c r="O121">
        <f t="shared" si="47"/>
        <v>23</v>
      </c>
    </row>
    <row r="122" spans="9:15" x14ac:dyDescent="0.3">
      <c r="I122">
        <v>163</v>
      </c>
      <c r="J122">
        <f t="shared" si="49"/>
        <v>38</v>
      </c>
      <c r="K122">
        <f t="shared" si="49"/>
        <v>-26</v>
      </c>
      <c r="L122">
        <f t="shared" si="49"/>
        <v>0</v>
      </c>
      <c r="M122">
        <f t="shared" si="49"/>
        <v>10</v>
      </c>
      <c r="N122">
        <f t="shared" si="49"/>
        <v>0</v>
      </c>
      <c r="O122">
        <f t="shared" si="47"/>
        <v>22</v>
      </c>
    </row>
    <row r="123" spans="9:15" x14ac:dyDescent="0.3">
      <c r="I123">
        <v>164</v>
      </c>
      <c r="J123">
        <f t="shared" si="49"/>
        <v>39</v>
      </c>
      <c r="K123">
        <f t="shared" si="49"/>
        <v>-28</v>
      </c>
      <c r="L123">
        <f t="shared" si="49"/>
        <v>0</v>
      </c>
      <c r="M123">
        <f t="shared" si="49"/>
        <v>10</v>
      </c>
      <c r="N123">
        <f t="shared" si="49"/>
        <v>0</v>
      </c>
      <c r="O123">
        <f t="shared" si="47"/>
        <v>21</v>
      </c>
    </row>
    <row r="124" spans="9:15" x14ac:dyDescent="0.3">
      <c r="I124">
        <v>165</v>
      </c>
      <c r="J124">
        <f t="shared" ref="J124:N159" si="50">IF(J$55="Vanilla", MAX($I124-J$56, 0), $I124&gt;=J$56)*J$57</f>
        <v>40</v>
      </c>
      <c r="K124">
        <f t="shared" si="50"/>
        <v>-30</v>
      </c>
      <c r="L124">
        <f t="shared" si="50"/>
        <v>0</v>
      </c>
      <c r="M124">
        <f t="shared" si="50"/>
        <v>10</v>
      </c>
      <c r="N124">
        <f t="shared" si="50"/>
        <v>0</v>
      </c>
      <c r="O124">
        <f t="shared" ref="O124:O159" si="51">SUM(J124:N124)</f>
        <v>20</v>
      </c>
    </row>
    <row r="125" spans="9:15" x14ac:dyDescent="0.3">
      <c r="I125">
        <v>166</v>
      </c>
      <c r="J125">
        <f t="shared" si="50"/>
        <v>41</v>
      </c>
      <c r="K125">
        <f t="shared" si="50"/>
        <v>-32</v>
      </c>
      <c r="L125">
        <f t="shared" si="50"/>
        <v>0</v>
      </c>
      <c r="M125">
        <f t="shared" si="50"/>
        <v>10</v>
      </c>
      <c r="N125">
        <f t="shared" si="50"/>
        <v>0</v>
      </c>
      <c r="O125">
        <f t="shared" si="51"/>
        <v>19</v>
      </c>
    </row>
    <row r="126" spans="9:15" x14ac:dyDescent="0.3">
      <c r="I126">
        <v>167</v>
      </c>
      <c r="J126">
        <f t="shared" si="50"/>
        <v>42</v>
      </c>
      <c r="K126">
        <f t="shared" si="50"/>
        <v>-34</v>
      </c>
      <c r="L126">
        <f t="shared" si="50"/>
        <v>0</v>
      </c>
      <c r="M126">
        <f t="shared" si="50"/>
        <v>10</v>
      </c>
      <c r="N126">
        <f t="shared" si="50"/>
        <v>0</v>
      </c>
      <c r="O126">
        <f t="shared" si="51"/>
        <v>18</v>
      </c>
    </row>
    <row r="127" spans="9:15" x14ac:dyDescent="0.3">
      <c r="I127">
        <v>168</v>
      </c>
      <c r="J127">
        <f t="shared" si="50"/>
        <v>43</v>
      </c>
      <c r="K127">
        <f t="shared" si="50"/>
        <v>-36</v>
      </c>
      <c r="L127">
        <f t="shared" si="50"/>
        <v>0</v>
      </c>
      <c r="M127">
        <f t="shared" si="50"/>
        <v>10</v>
      </c>
      <c r="N127">
        <f t="shared" si="50"/>
        <v>0</v>
      </c>
      <c r="O127">
        <f t="shared" si="51"/>
        <v>17</v>
      </c>
    </row>
    <row r="128" spans="9:15" x14ac:dyDescent="0.3">
      <c r="I128">
        <v>169</v>
      </c>
      <c r="J128">
        <f t="shared" si="50"/>
        <v>44</v>
      </c>
      <c r="K128">
        <f t="shared" si="50"/>
        <v>-38</v>
      </c>
      <c r="L128">
        <f t="shared" si="50"/>
        <v>0</v>
      </c>
      <c r="M128">
        <f t="shared" si="50"/>
        <v>10</v>
      </c>
      <c r="N128">
        <f t="shared" si="50"/>
        <v>0</v>
      </c>
      <c r="O128">
        <f t="shared" si="51"/>
        <v>16</v>
      </c>
    </row>
    <row r="129" spans="9:15" x14ac:dyDescent="0.3">
      <c r="I129">
        <v>170</v>
      </c>
      <c r="J129">
        <f t="shared" si="50"/>
        <v>45</v>
      </c>
      <c r="K129">
        <f t="shared" si="50"/>
        <v>-40</v>
      </c>
      <c r="L129">
        <f t="shared" si="50"/>
        <v>0</v>
      </c>
      <c r="M129">
        <f t="shared" si="50"/>
        <v>10</v>
      </c>
      <c r="N129">
        <f t="shared" si="50"/>
        <v>0</v>
      </c>
      <c r="O129">
        <f t="shared" si="51"/>
        <v>15</v>
      </c>
    </row>
    <row r="130" spans="9:15" x14ac:dyDescent="0.3">
      <c r="I130">
        <v>171</v>
      </c>
      <c r="J130">
        <f t="shared" si="50"/>
        <v>46</v>
      </c>
      <c r="K130">
        <f t="shared" si="50"/>
        <v>-42</v>
      </c>
      <c r="L130">
        <f t="shared" si="50"/>
        <v>0</v>
      </c>
      <c r="M130">
        <f t="shared" si="50"/>
        <v>10</v>
      </c>
      <c r="N130">
        <f t="shared" si="50"/>
        <v>0</v>
      </c>
      <c r="O130">
        <f t="shared" si="51"/>
        <v>14</v>
      </c>
    </row>
    <row r="131" spans="9:15" x14ac:dyDescent="0.3">
      <c r="I131">
        <v>172</v>
      </c>
      <c r="J131">
        <f t="shared" si="50"/>
        <v>47</v>
      </c>
      <c r="K131">
        <f t="shared" si="50"/>
        <v>-44</v>
      </c>
      <c r="L131">
        <f t="shared" si="50"/>
        <v>0</v>
      </c>
      <c r="M131">
        <f t="shared" si="50"/>
        <v>10</v>
      </c>
      <c r="N131">
        <f t="shared" si="50"/>
        <v>0</v>
      </c>
      <c r="O131">
        <f t="shared" si="51"/>
        <v>13</v>
      </c>
    </row>
    <row r="132" spans="9:15" x14ac:dyDescent="0.3">
      <c r="I132">
        <v>173</v>
      </c>
      <c r="J132">
        <f t="shared" si="50"/>
        <v>48</v>
      </c>
      <c r="K132">
        <f t="shared" si="50"/>
        <v>-46</v>
      </c>
      <c r="L132">
        <f t="shared" si="50"/>
        <v>0</v>
      </c>
      <c r="M132">
        <f t="shared" si="50"/>
        <v>10</v>
      </c>
      <c r="N132">
        <f t="shared" si="50"/>
        <v>0</v>
      </c>
      <c r="O132">
        <f t="shared" si="51"/>
        <v>12</v>
      </c>
    </row>
    <row r="133" spans="9:15" x14ac:dyDescent="0.3">
      <c r="I133">
        <v>174.99</v>
      </c>
      <c r="J133">
        <f t="shared" si="50"/>
        <v>49.990000000000009</v>
      </c>
      <c r="K133">
        <f t="shared" si="50"/>
        <v>-49.980000000000018</v>
      </c>
      <c r="L133">
        <f t="shared" si="50"/>
        <v>0</v>
      </c>
      <c r="M133">
        <f t="shared" si="50"/>
        <v>10</v>
      </c>
      <c r="N133">
        <f t="shared" si="50"/>
        <v>0</v>
      </c>
      <c r="O133">
        <f t="shared" si="51"/>
        <v>10.009999999999991</v>
      </c>
    </row>
    <row r="134" spans="9:15" x14ac:dyDescent="0.3">
      <c r="I134">
        <v>175</v>
      </c>
      <c r="J134">
        <f t="shared" si="50"/>
        <v>50</v>
      </c>
      <c r="K134">
        <f t="shared" si="50"/>
        <v>-50</v>
      </c>
      <c r="L134">
        <f t="shared" si="50"/>
        <v>0</v>
      </c>
      <c r="M134">
        <f t="shared" si="50"/>
        <v>10</v>
      </c>
      <c r="N134">
        <f t="shared" si="50"/>
        <v>-10</v>
      </c>
      <c r="O134">
        <f t="shared" si="51"/>
        <v>0</v>
      </c>
    </row>
    <row r="135" spans="9:15" x14ac:dyDescent="0.3">
      <c r="I135">
        <v>175.01</v>
      </c>
      <c r="J135">
        <f t="shared" si="50"/>
        <v>50.009999999999991</v>
      </c>
      <c r="K135">
        <f t="shared" si="50"/>
        <v>-50.019999999999982</v>
      </c>
      <c r="L135">
        <f t="shared" si="50"/>
        <v>9.9999999999909051E-3</v>
      </c>
      <c r="M135">
        <f t="shared" si="50"/>
        <v>10</v>
      </c>
      <c r="N135">
        <f t="shared" si="50"/>
        <v>-10</v>
      </c>
      <c r="O135">
        <f t="shared" si="51"/>
        <v>0</v>
      </c>
    </row>
    <row r="136" spans="9:15" x14ac:dyDescent="0.3">
      <c r="I136">
        <v>177</v>
      </c>
      <c r="J136">
        <f t="shared" si="50"/>
        <v>52</v>
      </c>
      <c r="K136">
        <f t="shared" si="50"/>
        <v>-54</v>
      </c>
      <c r="L136">
        <f t="shared" si="50"/>
        <v>2</v>
      </c>
      <c r="M136">
        <f t="shared" si="50"/>
        <v>10</v>
      </c>
      <c r="N136">
        <f t="shared" si="50"/>
        <v>-10</v>
      </c>
      <c r="O136">
        <f t="shared" si="51"/>
        <v>0</v>
      </c>
    </row>
    <row r="137" spans="9:15" x14ac:dyDescent="0.3">
      <c r="I137">
        <v>178</v>
      </c>
      <c r="J137">
        <f t="shared" si="50"/>
        <v>53</v>
      </c>
      <c r="K137">
        <f t="shared" si="50"/>
        <v>-56</v>
      </c>
      <c r="L137">
        <f t="shared" si="50"/>
        <v>3</v>
      </c>
      <c r="M137">
        <f t="shared" si="50"/>
        <v>10</v>
      </c>
      <c r="N137">
        <f t="shared" si="50"/>
        <v>-10</v>
      </c>
      <c r="O137">
        <f t="shared" si="51"/>
        <v>0</v>
      </c>
    </row>
    <row r="138" spans="9:15" x14ac:dyDescent="0.3">
      <c r="I138">
        <v>179</v>
      </c>
      <c r="J138">
        <f t="shared" si="50"/>
        <v>54</v>
      </c>
      <c r="K138">
        <f t="shared" si="50"/>
        <v>-58</v>
      </c>
      <c r="L138">
        <f t="shared" si="50"/>
        <v>4</v>
      </c>
      <c r="M138">
        <f t="shared" si="50"/>
        <v>10</v>
      </c>
      <c r="N138">
        <f t="shared" si="50"/>
        <v>-10</v>
      </c>
      <c r="O138">
        <f t="shared" si="51"/>
        <v>0</v>
      </c>
    </row>
    <row r="139" spans="9:15" x14ac:dyDescent="0.3">
      <c r="I139">
        <v>180</v>
      </c>
      <c r="J139">
        <f t="shared" si="50"/>
        <v>55</v>
      </c>
      <c r="K139">
        <f t="shared" si="50"/>
        <v>-60</v>
      </c>
      <c r="L139">
        <f t="shared" si="50"/>
        <v>5</v>
      </c>
      <c r="M139">
        <f t="shared" si="50"/>
        <v>10</v>
      </c>
      <c r="N139">
        <f t="shared" si="50"/>
        <v>-10</v>
      </c>
      <c r="O139">
        <f t="shared" si="51"/>
        <v>0</v>
      </c>
    </row>
    <row r="140" spans="9:15" x14ac:dyDescent="0.3">
      <c r="I140">
        <v>181</v>
      </c>
      <c r="J140">
        <f t="shared" si="50"/>
        <v>56</v>
      </c>
      <c r="K140">
        <f t="shared" si="50"/>
        <v>-62</v>
      </c>
      <c r="L140">
        <f t="shared" si="50"/>
        <v>6</v>
      </c>
      <c r="M140">
        <f t="shared" si="50"/>
        <v>10</v>
      </c>
      <c r="N140">
        <f t="shared" si="50"/>
        <v>-10</v>
      </c>
      <c r="O140">
        <f t="shared" si="51"/>
        <v>0</v>
      </c>
    </row>
    <row r="141" spans="9:15" x14ac:dyDescent="0.3">
      <c r="I141">
        <v>182</v>
      </c>
      <c r="J141">
        <f t="shared" si="50"/>
        <v>57</v>
      </c>
      <c r="K141">
        <f t="shared" si="50"/>
        <v>-64</v>
      </c>
      <c r="L141">
        <f t="shared" si="50"/>
        <v>7</v>
      </c>
      <c r="M141">
        <f t="shared" si="50"/>
        <v>10</v>
      </c>
      <c r="N141">
        <f t="shared" si="50"/>
        <v>-10</v>
      </c>
      <c r="O141">
        <f t="shared" si="51"/>
        <v>0</v>
      </c>
    </row>
    <row r="142" spans="9:15" x14ac:dyDescent="0.3">
      <c r="I142">
        <v>183</v>
      </c>
      <c r="J142">
        <f t="shared" si="50"/>
        <v>58</v>
      </c>
      <c r="K142">
        <f t="shared" si="50"/>
        <v>-66</v>
      </c>
      <c r="L142">
        <f t="shared" si="50"/>
        <v>8</v>
      </c>
      <c r="M142">
        <f t="shared" si="50"/>
        <v>10</v>
      </c>
      <c r="N142">
        <f t="shared" si="50"/>
        <v>-10</v>
      </c>
      <c r="O142">
        <f t="shared" si="51"/>
        <v>0</v>
      </c>
    </row>
    <row r="143" spans="9:15" x14ac:dyDescent="0.3">
      <c r="I143">
        <v>184</v>
      </c>
      <c r="J143">
        <f t="shared" si="50"/>
        <v>59</v>
      </c>
      <c r="K143">
        <f t="shared" si="50"/>
        <v>-68</v>
      </c>
      <c r="L143">
        <f t="shared" si="50"/>
        <v>9</v>
      </c>
      <c r="M143">
        <f t="shared" si="50"/>
        <v>10</v>
      </c>
      <c r="N143">
        <f t="shared" si="50"/>
        <v>-10</v>
      </c>
      <c r="O143">
        <f t="shared" si="51"/>
        <v>0</v>
      </c>
    </row>
    <row r="144" spans="9:15" x14ac:dyDescent="0.3">
      <c r="I144">
        <v>185</v>
      </c>
      <c r="J144">
        <f t="shared" si="50"/>
        <v>60</v>
      </c>
      <c r="K144">
        <f t="shared" si="50"/>
        <v>-70</v>
      </c>
      <c r="L144">
        <f t="shared" si="50"/>
        <v>10</v>
      </c>
      <c r="M144">
        <f t="shared" si="50"/>
        <v>10</v>
      </c>
      <c r="N144">
        <f t="shared" si="50"/>
        <v>-10</v>
      </c>
      <c r="O144">
        <f t="shared" si="51"/>
        <v>0</v>
      </c>
    </row>
    <row r="145" spans="9:15" x14ac:dyDescent="0.3">
      <c r="I145">
        <v>186</v>
      </c>
      <c r="J145">
        <f t="shared" si="50"/>
        <v>61</v>
      </c>
      <c r="K145">
        <f t="shared" si="50"/>
        <v>-72</v>
      </c>
      <c r="L145">
        <f t="shared" si="50"/>
        <v>11</v>
      </c>
      <c r="M145">
        <f t="shared" si="50"/>
        <v>10</v>
      </c>
      <c r="N145">
        <f t="shared" si="50"/>
        <v>-10</v>
      </c>
      <c r="O145">
        <f t="shared" si="51"/>
        <v>0</v>
      </c>
    </row>
    <row r="146" spans="9:15" x14ac:dyDescent="0.3">
      <c r="I146">
        <v>187</v>
      </c>
      <c r="J146">
        <f t="shared" si="50"/>
        <v>62</v>
      </c>
      <c r="K146">
        <f t="shared" si="50"/>
        <v>-74</v>
      </c>
      <c r="L146">
        <f t="shared" si="50"/>
        <v>12</v>
      </c>
      <c r="M146">
        <f t="shared" si="50"/>
        <v>10</v>
      </c>
      <c r="N146">
        <f t="shared" si="50"/>
        <v>-10</v>
      </c>
      <c r="O146">
        <f t="shared" si="51"/>
        <v>0</v>
      </c>
    </row>
    <row r="147" spans="9:15" x14ac:dyDescent="0.3">
      <c r="I147">
        <v>188</v>
      </c>
      <c r="J147">
        <f t="shared" si="50"/>
        <v>63</v>
      </c>
      <c r="K147">
        <f t="shared" si="50"/>
        <v>-76</v>
      </c>
      <c r="L147">
        <f t="shared" si="50"/>
        <v>13</v>
      </c>
      <c r="M147">
        <f t="shared" si="50"/>
        <v>10</v>
      </c>
      <c r="N147">
        <f t="shared" si="50"/>
        <v>-10</v>
      </c>
      <c r="O147">
        <f t="shared" si="51"/>
        <v>0</v>
      </c>
    </row>
    <row r="148" spans="9:15" x14ac:dyDescent="0.3">
      <c r="I148">
        <v>189</v>
      </c>
      <c r="J148">
        <f t="shared" si="50"/>
        <v>64</v>
      </c>
      <c r="K148">
        <f t="shared" si="50"/>
        <v>-78</v>
      </c>
      <c r="L148">
        <f t="shared" si="50"/>
        <v>14</v>
      </c>
      <c r="M148">
        <f t="shared" si="50"/>
        <v>10</v>
      </c>
      <c r="N148">
        <f t="shared" si="50"/>
        <v>-10</v>
      </c>
      <c r="O148">
        <f t="shared" si="51"/>
        <v>0</v>
      </c>
    </row>
    <row r="149" spans="9:15" x14ac:dyDescent="0.3">
      <c r="I149">
        <v>190</v>
      </c>
      <c r="J149">
        <f t="shared" si="50"/>
        <v>65</v>
      </c>
      <c r="K149">
        <f t="shared" si="50"/>
        <v>-80</v>
      </c>
      <c r="L149">
        <f t="shared" si="50"/>
        <v>15</v>
      </c>
      <c r="M149">
        <f t="shared" si="50"/>
        <v>10</v>
      </c>
      <c r="N149">
        <f t="shared" si="50"/>
        <v>-10</v>
      </c>
      <c r="O149">
        <f t="shared" si="51"/>
        <v>0</v>
      </c>
    </row>
    <row r="150" spans="9:15" x14ac:dyDescent="0.3">
      <c r="I150">
        <v>191</v>
      </c>
      <c r="J150">
        <f t="shared" si="50"/>
        <v>66</v>
      </c>
      <c r="K150">
        <f t="shared" si="50"/>
        <v>-82</v>
      </c>
      <c r="L150">
        <f t="shared" si="50"/>
        <v>16</v>
      </c>
      <c r="M150">
        <f t="shared" si="50"/>
        <v>10</v>
      </c>
      <c r="N150">
        <f t="shared" si="50"/>
        <v>-10</v>
      </c>
      <c r="O150">
        <f t="shared" si="51"/>
        <v>0</v>
      </c>
    </row>
    <row r="151" spans="9:15" x14ac:dyDescent="0.3">
      <c r="I151">
        <v>192</v>
      </c>
      <c r="J151">
        <f t="shared" si="50"/>
        <v>67</v>
      </c>
      <c r="K151">
        <f t="shared" si="50"/>
        <v>-84</v>
      </c>
      <c r="L151">
        <f t="shared" si="50"/>
        <v>17</v>
      </c>
      <c r="M151">
        <f t="shared" si="50"/>
        <v>10</v>
      </c>
      <c r="N151">
        <f t="shared" si="50"/>
        <v>-10</v>
      </c>
      <c r="O151">
        <f t="shared" si="51"/>
        <v>0</v>
      </c>
    </row>
    <row r="152" spans="9:15" x14ac:dyDescent="0.3">
      <c r="I152">
        <v>193</v>
      </c>
      <c r="J152">
        <f t="shared" si="50"/>
        <v>68</v>
      </c>
      <c r="K152">
        <f t="shared" si="50"/>
        <v>-86</v>
      </c>
      <c r="L152">
        <f t="shared" si="50"/>
        <v>18</v>
      </c>
      <c r="M152">
        <f t="shared" si="50"/>
        <v>10</v>
      </c>
      <c r="N152">
        <f t="shared" si="50"/>
        <v>-10</v>
      </c>
      <c r="O152">
        <f t="shared" si="51"/>
        <v>0</v>
      </c>
    </row>
    <row r="153" spans="9:15" x14ac:dyDescent="0.3">
      <c r="I153">
        <v>194</v>
      </c>
      <c r="J153">
        <f t="shared" si="50"/>
        <v>69</v>
      </c>
      <c r="K153">
        <f t="shared" si="50"/>
        <v>-88</v>
      </c>
      <c r="L153">
        <f t="shared" si="50"/>
        <v>19</v>
      </c>
      <c r="M153">
        <f t="shared" si="50"/>
        <v>10</v>
      </c>
      <c r="N153">
        <f t="shared" si="50"/>
        <v>-10</v>
      </c>
      <c r="O153">
        <f t="shared" si="51"/>
        <v>0</v>
      </c>
    </row>
    <row r="154" spans="9:15" x14ac:dyDescent="0.3">
      <c r="I154">
        <v>195</v>
      </c>
      <c r="J154">
        <f t="shared" si="50"/>
        <v>70</v>
      </c>
      <c r="K154">
        <f t="shared" si="50"/>
        <v>-90</v>
      </c>
      <c r="L154">
        <f t="shared" si="50"/>
        <v>20</v>
      </c>
      <c r="M154">
        <f t="shared" si="50"/>
        <v>10</v>
      </c>
      <c r="N154">
        <f t="shared" si="50"/>
        <v>-10</v>
      </c>
      <c r="O154">
        <f t="shared" si="51"/>
        <v>0</v>
      </c>
    </row>
    <row r="155" spans="9:15" x14ac:dyDescent="0.3">
      <c r="I155">
        <v>196</v>
      </c>
      <c r="J155">
        <f t="shared" si="50"/>
        <v>71</v>
      </c>
      <c r="K155">
        <f t="shared" si="50"/>
        <v>-92</v>
      </c>
      <c r="L155">
        <f t="shared" si="50"/>
        <v>21</v>
      </c>
      <c r="M155">
        <f t="shared" si="50"/>
        <v>10</v>
      </c>
      <c r="N155">
        <f t="shared" si="50"/>
        <v>-10</v>
      </c>
      <c r="O155">
        <f t="shared" si="51"/>
        <v>0</v>
      </c>
    </row>
    <row r="156" spans="9:15" x14ac:dyDescent="0.3">
      <c r="I156">
        <v>197</v>
      </c>
      <c r="J156">
        <f t="shared" si="50"/>
        <v>72</v>
      </c>
      <c r="K156">
        <f t="shared" si="50"/>
        <v>-94</v>
      </c>
      <c r="L156">
        <f t="shared" si="50"/>
        <v>22</v>
      </c>
      <c r="M156">
        <f t="shared" si="50"/>
        <v>10</v>
      </c>
      <c r="N156">
        <f t="shared" si="50"/>
        <v>-10</v>
      </c>
      <c r="O156">
        <f t="shared" si="51"/>
        <v>0</v>
      </c>
    </row>
    <row r="157" spans="9:15" x14ac:dyDescent="0.3">
      <c r="I157">
        <v>198</v>
      </c>
      <c r="J157">
        <f t="shared" si="50"/>
        <v>73</v>
      </c>
      <c r="K157">
        <f t="shared" si="50"/>
        <v>-96</v>
      </c>
      <c r="L157">
        <f t="shared" si="50"/>
        <v>23</v>
      </c>
      <c r="M157">
        <f t="shared" si="50"/>
        <v>10</v>
      </c>
      <c r="N157">
        <f t="shared" si="50"/>
        <v>-10</v>
      </c>
      <c r="O157">
        <f t="shared" si="51"/>
        <v>0</v>
      </c>
    </row>
    <row r="158" spans="9:15" x14ac:dyDescent="0.3">
      <c r="I158">
        <v>199</v>
      </c>
      <c r="J158">
        <f t="shared" si="50"/>
        <v>74</v>
      </c>
      <c r="K158">
        <f t="shared" si="50"/>
        <v>-98</v>
      </c>
      <c r="L158">
        <f t="shared" si="50"/>
        <v>24</v>
      </c>
      <c r="M158">
        <f t="shared" si="50"/>
        <v>10</v>
      </c>
      <c r="N158">
        <f t="shared" si="50"/>
        <v>-10</v>
      </c>
      <c r="O158">
        <f t="shared" si="51"/>
        <v>0</v>
      </c>
    </row>
    <row r="159" spans="9:15" x14ac:dyDescent="0.3">
      <c r="I159">
        <v>200</v>
      </c>
      <c r="J159">
        <f t="shared" si="50"/>
        <v>75</v>
      </c>
      <c r="K159">
        <f t="shared" si="50"/>
        <v>-100</v>
      </c>
      <c r="L159">
        <f t="shared" si="50"/>
        <v>25</v>
      </c>
      <c r="M159">
        <f t="shared" si="50"/>
        <v>10</v>
      </c>
      <c r="N159">
        <f t="shared" si="50"/>
        <v>-10</v>
      </c>
      <c r="O159">
        <f t="shared" si="51"/>
        <v>0</v>
      </c>
    </row>
  </sheetData>
  <mergeCells count="4">
    <mergeCell ref="C63:E63"/>
    <mergeCell ref="G38:I38"/>
    <mergeCell ref="L38:N38"/>
    <mergeCell ref="Q38:S3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3CFD-17F3-4322-B59F-5DD34314E813}">
  <dimension ref="A1:P76"/>
  <sheetViews>
    <sheetView zoomScaleNormal="100" workbookViewId="0">
      <selection activeCell="A32" sqref="A32"/>
    </sheetView>
  </sheetViews>
  <sheetFormatPr defaultRowHeight="14.4" x14ac:dyDescent="0.3"/>
  <cols>
    <col min="1" max="1" width="9.109375" bestFit="1" customWidth="1"/>
    <col min="2" max="2" width="10.21875" bestFit="1" customWidth="1"/>
    <col min="3" max="3" width="9.21875" bestFit="1" customWidth="1"/>
    <col min="4" max="4" width="9.109375" bestFit="1" customWidth="1"/>
  </cols>
  <sheetData>
    <row r="1" spans="1:1" x14ac:dyDescent="0.3">
      <c r="A1" t="s">
        <v>156</v>
      </c>
    </row>
    <row r="2" spans="1:1" x14ac:dyDescent="0.3">
      <c r="A2" t="s">
        <v>157</v>
      </c>
    </row>
    <row r="3" spans="1:1" x14ac:dyDescent="0.3">
      <c r="A3" t="s">
        <v>158</v>
      </c>
    </row>
    <row r="4" spans="1:1" x14ac:dyDescent="0.3">
      <c r="A4" t="s">
        <v>159</v>
      </c>
    </row>
    <row r="5" spans="1:1" x14ac:dyDescent="0.3">
      <c r="A5" t="s">
        <v>160</v>
      </c>
    </row>
    <row r="6" spans="1:1" x14ac:dyDescent="0.3">
      <c r="A6" t="s">
        <v>161</v>
      </c>
    </row>
    <row r="7" spans="1:1" x14ac:dyDescent="0.3">
      <c r="A7" t="s">
        <v>162</v>
      </c>
    </row>
    <row r="8" spans="1:1" x14ac:dyDescent="0.3">
      <c r="A8" t="s">
        <v>163</v>
      </c>
    </row>
    <row r="9" spans="1:1" x14ac:dyDescent="0.3">
      <c r="A9" t="s">
        <v>164</v>
      </c>
    </row>
    <row r="10" spans="1:1" x14ac:dyDescent="0.3">
      <c r="A10" t="s">
        <v>165</v>
      </c>
    </row>
    <row r="11" spans="1:1" x14ac:dyDescent="0.3">
      <c r="A11" t="s">
        <v>166</v>
      </c>
    </row>
    <row r="12" spans="1:1" x14ac:dyDescent="0.3">
      <c r="A12" t="s">
        <v>167</v>
      </c>
    </row>
    <row r="13" spans="1:1" x14ac:dyDescent="0.3">
      <c r="A13" t="s">
        <v>168</v>
      </c>
    </row>
    <row r="14" spans="1:1" x14ac:dyDescent="0.3">
      <c r="A14" t="s">
        <v>169</v>
      </c>
    </row>
    <row r="15" spans="1:1" x14ac:dyDescent="0.3">
      <c r="A15" t="s">
        <v>170</v>
      </c>
    </row>
    <row r="16" spans="1:1" x14ac:dyDescent="0.3">
      <c r="A16" t="s">
        <v>171</v>
      </c>
    </row>
    <row r="17" spans="1:1" x14ac:dyDescent="0.3">
      <c r="A17" t="s">
        <v>172</v>
      </c>
    </row>
    <row r="18" spans="1:1" x14ac:dyDescent="0.3">
      <c r="A18" t="s">
        <v>173</v>
      </c>
    </row>
    <row r="19" spans="1:1" x14ac:dyDescent="0.3">
      <c r="A19" t="s">
        <v>174</v>
      </c>
    </row>
    <row r="20" spans="1:1" x14ac:dyDescent="0.3">
      <c r="A20" t="s">
        <v>175</v>
      </c>
    </row>
    <row r="21" spans="1:1" x14ac:dyDescent="0.3">
      <c r="A21" t="s">
        <v>176</v>
      </c>
    </row>
    <row r="22" spans="1:1" x14ac:dyDescent="0.3">
      <c r="A22" t="s">
        <v>177</v>
      </c>
    </row>
    <row r="23" spans="1:1" x14ac:dyDescent="0.3">
      <c r="A23" t="s">
        <v>178</v>
      </c>
    </row>
    <row r="24" spans="1:1" x14ac:dyDescent="0.3">
      <c r="A24" t="s">
        <v>179</v>
      </c>
    </row>
    <row r="25" spans="1:1" x14ac:dyDescent="0.3">
      <c r="A25" t="s">
        <v>180</v>
      </c>
    </row>
    <row r="26" spans="1:1" x14ac:dyDescent="0.3">
      <c r="A26" t="s">
        <v>181</v>
      </c>
    </row>
    <row r="27" spans="1:1" x14ac:dyDescent="0.3">
      <c r="A27" t="s">
        <v>182</v>
      </c>
    </row>
    <row r="28" spans="1:1" x14ac:dyDescent="0.3">
      <c r="A28" t="s">
        <v>183</v>
      </c>
    </row>
    <row r="29" spans="1:1" x14ac:dyDescent="0.3">
      <c r="A29" t="s">
        <v>184</v>
      </c>
    </row>
    <row r="30" spans="1:1" x14ac:dyDescent="0.3">
      <c r="A30" t="s">
        <v>185</v>
      </c>
    </row>
    <row r="31" spans="1:1" x14ac:dyDescent="0.3">
      <c r="A31" t="s">
        <v>186</v>
      </c>
    </row>
    <row r="32" spans="1:1" x14ac:dyDescent="0.3">
      <c r="A32" t="s">
        <v>187</v>
      </c>
    </row>
    <row r="34" spans="1:16" x14ac:dyDescent="0.3">
      <c r="A34" t="s">
        <v>188</v>
      </c>
      <c r="B34" s="9">
        <v>100000</v>
      </c>
    </row>
    <row r="35" spans="1:16" x14ac:dyDescent="0.3">
      <c r="A35" t="s">
        <v>103</v>
      </c>
      <c r="B35" s="9">
        <v>5000</v>
      </c>
      <c r="J35" t="s">
        <v>130</v>
      </c>
      <c r="K35" t="s">
        <v>202</v>
      </c>
      <c r="L35" t="s">
        <v>203</v>
      </c>
      <c r="M35" t="s">
        <v>204</v>
      </c>
      <c r="N35" t="s">
        <v>205</v>
      </c>
      <c r="O35" t="s">
        <v>206</v>
      </c>
    </row>
    <row r="36" spans="1:16" x14ac:dyDescent="0.3">
      <c r="A36" t="s">
        <v>131</v>
      </c>
      <c r="B36" s="11">
        <v>0.25</v>
      </c>
      <c r="J36">
        <v>4000</v>
      </c>
      <c r="K36">
        <f>J36*$D$47-$B$34</f>
        <v>-20000</v>
      </c>
      <c r="L36" s="8">
        <f>$D$48-$B$34</f>
        <v>-4000</v>
      </c>
      <c r="M36">
        <f>$D$47*MAX(J36-$B$40, 0)</f>
        <v>0</v>
      </c>
      <c r="N36" s="8">
        <f>$D$53*MAX(J36-$B$35, 0)</f>
        <v>0</v>
      </c>
      <c r="O36" s="8">
        <f>SUM(L36:N36)</f>
        <v>-4000</v>
      </c>
      <c r="P36" s="22"/>
    </row>
    <row r="37" spans="1:16" x14ac:dyDescent="0.3">
      <c r="A37" t="s">
        <v>132</v>
      </c>
      <c r="B37" s="11">
        <v>0.05</v>
      </c>
      <c r="J37">
        <v>4050</v>
      </c>
      <c r="K37">
        <f t="shared" ref="K37:K76" si="0">J37*$D$47-$B$34</f>
        <v>-19000</v>
      </c>
      <c r="L37" s="8">
        <f t="shared" ref="L37:L76" si="1">$D$48-$B$34</f>
        <v>-4000</v>
      </c>
      <c r="M37">
        <f t="shared" ref="M37:M76" si="2">$D$47*MAX(J37-$B$40, 0)</f>
        <v>0</v>
      </c>
      <c r="N37" s="8">
        <f t="shared" ref="N37:N76" si="3">$D$53*MAX(J37-$B$35, 0)</f>
        <v>0</v>
      </c>
      <c r="O37" s="8">
        <f t="shared" ref="O37:O76" si="4">SUM(L37:N37)</f>
        <v>-4000</v>
      </c>
      <c r="P37" s="22"/>
    </row>
    <row r="38" spans="1:16" x14ac:dyDescent="0.3">
      <c r="A38" t="s">
        <v>105</v>
      </c>
      <c r="B38" s="11">
        <v>0.02</v>
      </c>
      <c r="J38">
        <v>4100</v>
      </c>
      <c r="K38">
        <f t="shared" si="0"/>
        <v>-18000</v>
      </c>
      <c r="L38" s="8">
        <f t="shared" si="1"/>
        <v>-4000</v>
      </c>
      <c r="M38">
        <f t="shared" si="2"/>
        <v>0</v>
      </c>
      <c r="N38" s="8">
        <f t="shared" si="3"/>
        <v>0</v>
      </c>
      <c r="O38" s="8">
        <f t="shared" si="4"/>
        <v>-4000</v>
      </c>
      <c r="P38" s="22"/>
    </row>
    <row r="39" spans="1:16" x14ac:dyDescent="0.3">
      <c r="A39" t="s">
        <v>129</v>
      </c>
      <c r="B39" s="12">
        <v>1</v>
      </c>
      <c r="J39">
        <v>4150</v>
      </c>
      <c r="K39">
        <f t="shared" si="0"/>
        <v>-17000</v>
      </c>
      <c r="L39" s="8">
        <f t="shared" si="1"/>
        <v>-4000</v>
      </c>
      <c r="M39">
        <f t="shared" si="2"/>
        <v>0</v>
      </c>
      <c r="N39" s="8">
        <f t="shared" si="3"/>
        <v>0</v>
      </c>
      <c r="O39" s="8">
        <f t="shared" si="4"/>
        <v>-4000</v>
      </c>
      <c r="P39" s="22"/>
    </row>
    <row r="40" spans="1:16" x14ac:dyDescent="0.3">
      <c r="A40" t="s">
        <v>189</v>
      </c>
      <c r="B40" s="9">
        <v>4800</v>
      </c>
      <c r="J40">
        <v>4200</v>
      </c>
      <c r="K40">
        <f t="shared" si="0"/>
        <v>-16000</v>
      </c>
      <c r="L40" s="8">
        <f t="shared" si="1"/>
        <v>-4000</v>
      </c>
      <c r="M40">
        <f t="shared" si="2"/>
        <v>0</v>
      </c>
      <c r="N40" s="8">
        <f t="shared" si="3"/>
        <v>0</v>
      </c>
      <c r="O40" s="8">
        <f t="shared" si="4"/>
        <v>-4000</v>
      </c>
      <c r="P40" s="22"/>
    </row>
    <row r="41" spans="1:16" x14ac:dyDescent="0.3">
      <c r="B41" s="8"/>
      <c r="J41">
        <v>4250</v>
      </c>
      <c r="K41">
        <f t="shared" si="0"/>
        <v>-15000</v>
      </c>
      <c r="L41" s="8">
        <f t="shared" si="1"/>
        <v>-4000</v>
      </c>
      <c r="M41">
        <f t="shared" si="2"/>
        <v>0</v>
      </c>
      <c r="N41" s="8">
        <f t="shared" si="3"/>
        <v>0</v>
      </c>
      <c r="O41" s="8">
        <f t="shared" si="4"/>
        <v>-4000</v>
      </c>
      <c r="P41" s="22"/>
    </row>
    <row r="42" spans="1:16" x14ac:dyDescent="0.3">
      <c r="A42" t="s">
        <v>191</v>
      </c>
      <c r="B42" s="8"/>
      <c r="J42">
        <v>4300</v>
      </c>
      <c r="K42">
        <f t="shared" si="0"/>
        <v>-14000</v>
      </c>
      <c r="L42" s="8">
        <f t="shared" si="1"/>
        <v>-4000</v>
      </c>
      <c r="M42">
        <f t="shared" si="2"/>
        <v>0</v>
      </c>
      <c r="N42" s="8">
        <f t="shared" si="3"/>
        <v>0</v>
      </c>
      <c r="O42" s="8">
        <f t="shared" si="4"/>
        <v>-4000</v>
      </c>
      <c r="P42" s="22"/>
    </row>
    <row r="43" spans="1:16" x14ac:dyDescent="0.3">
      <c r="A43" t="s">
        <v>264</v>
      </c>
      <c r="B43" s="8"/>
      <c r="J43">
        <v>4350</v>
      </c>
      <c r="K43">
        <f t="shared" si="0"/>
        <v>-13000</v>
      </c>
      <c r="L43" s="8">
        <f t="shared" si="1"/>
        <v>-4000</v>
      </c>
      <c r="M43">
        <f t="shared" si="2"/>
        <v>0</v>
      </c>
      <c r="N43" s="8">
        <f t="shared" si="3"/>
        <v>0</v>
      </c>
      <c r="O43" s="8">
        <f t="shared" si="4"/>
        <v>-4000</v>
      </c>
      <c r="P43" s="22"/>
    </row>
    <row r="44" spans="1:16" x14ac:dyDescent="0.3">
      <c r="A44" t="s">
        <v>199</v>
      </c>
      <c r="J44">
        <v>4400</v>
      </c>
      <c r="K44">
        <f t="shared" si="0"/>
        <v>-12000</v>
      </c>
      <c r="L44" s="8">
        <f t="shared" si="1"/>
        <v>-4000</v>
      </c>
      <c r="M44">
        <f t="shared" si="2"/>
        <v>0</v>
      </c>
      <c r="N44" s="8">
        <f t="shared" si="3"/>
        <v>0</v>
      </c>
      <c r="O44" s="8">
        <f t="shared" si="4"/>
        <v>-4000</v>
      </c>
      <c r="P44" s="22"/>
    </row>
    <row r="45" spans="1:16" x14ac:dyDescent="0.3">
      <c r="A45" t="s">
        <v>192</v>
      </c>
      <c r="F45" t="s">
        <v>130</v>
      </c>
      <c r="G45" s="8">
        <f>B35</f>
        <v>5000</v>
      </c>
      <c r="H45" s="8">
        <f>B35</f>
        <v>5000</v>
      </c>
      <c r="J45">
        <v>4450</v>
      </c>
      <c r="K45">
        <f t="shared" si="0"/>
        <v>-11000</v>
      </c>
      <c r="L45" s="8">
        <f t="shared" si="1"/>
        <v>-4000</v>
      </c>
      <c r="M45">
        <f t="shared" si="2"/>
        <v>0</v>
      </c>
      <c r="N45" s="8">
        <f t="shared" si="3"/>
        <v>0</v>
      </c>
      <c r="O45" s="8">
        <f t="shared" si="4"/>
        <v>-4000</v>
      </c>
      <c r="P45" s="22"/>
    </row>
    <row r="46" spans="1:16" x14ac:dyDescent="0.3">
      <c r="F46" t="s">
        <v>126</v>
      </c>
      <c r="G46" s="8">
        <f>B40</f>
        <v>4800</v>
      </c>
      <c r="H46" s="8">
        <f>B35</f>
        <v>5000</v>
      </c>
      <c r="J46">
        <v>4500</v>
      </c>
      <c r="K46">
        <f t="shared" si="0"/>
        <v>-10000</v>
      </c>
      <c r="L46" s="8">
        <f t="shared" si="1"/>
        <v>-4000</v>
      </c>
      <c r="M46">
        <f t="shared" si="2"/>
        <v>0</v>
      </c>
      <c r="N46" s="8">
        <f t="shared" si="3"/>
        <v>0</v>
      </c>
      <c r="O46" s="8">
        <f t="shared" si="4"/>
        <v>-4000</v>
      </c>
      <c r="P46" s="22"/>
    </row>
    <row r="47" spans="1:16" x14ac:dyDescent="0.3">
      <c r="A47" t="s">
        <v>195</v>
      </c>
      <c r="D47">
        <f>B34/B35</f>
        <v>20</v>
      </c>
      <c r="F47" t="s">
        <v>129</v>
      </c>
      <c r="G47" s="5">
        <f>B39</f>
        <v>1</v>
      </c>
      <c r="H47" s="5">
        <f>B39</f>
        <v>1</v>
      </c>
      <c r="J47">
        <v>4550</v>
      </c>
      <c r="K47">
        <f t="shared" si="0"/>
        <v>-9000</v>
      </c>
      <c r="L47" s="8">
        <f t="shared" si="1"/>
        <v>-4000</v>
      </c>
      <c r="M47">
        <f t="shared" si="2"/>
        <v>0</v>
      </c>
      <c r="N47" s="8">
        <f t="shared" si="3"/>
        <v>0</v>
      </c>
      <c r="O47" s="8">
        <f t="shared" si="4"/>
        <v>-4000</v>
      </c>
      <c r="P47" s="22"/>
    </row>
    <row r="48" spans="1:16" x14ac:dyDescent="0.3">
      <c r="A48" t="s">
        <v>193</v>
      </c>
      <c r="D48" s="8">
        <f>D47 * B40</f>
        <v>96000</v>
      </c>
      <c r="F48" t="s">
        <v>132</v>
      </c>
      <c r="G48" s="3">
        <f>B37</f>
        <v>0.05</v>
      </c>
      <c r="H48" s="3">
        <f>B37</f>
        <v>0.05</v>
      </c>
      <c r="J48">
        <v>4600</v>
      </c>
      <c r="K48">
        <f t="shared" si="0"/>
        <v>-8000</v>
      </c>
      <c r="L48" s="8">
        <f t="shared" si="1"/>
        <v>-4000</v>
      </c>
      <c r="M48">
        <f t="shared" si="2"/>
        <v>0</v>
      </c>
      <c r="N48" s="8">
        <f t="shared" si="3"/>
        <v>0</v>
      </c>
      <c r="O48" s="8">
        <f t="shared" si="4"/>
        <v>-4000</v>
      </c>
      <c r="P48" s="22"/>
    </row>
    <row r="49" spans="1:16" x14ac:dyDescent="0.3">
      <c r="A49" t="s">
        <v>194</v>
      </c>
      <c r="D49" s="8">
        <f>D48*EXP(-B37*B39)</f>
        <v>91318.024752068552</v>
      </c>
      <c r="F49" t="s">
        <v>105</v>
      </c>
      <c r="G49" s="3">
        <f>B38</f>
        <v>0.02</v>
      </c>
      <c r="H49" s="3">
        <f>B38</f>
        <v>0.02</v>
      </c>
      <c r="J49">
        <v>4650</v>
      </c>
      <c r="K49">
        <f t="shared" si="0"/>
        <v>-7000</v>
      </c>
      <c r="L49" s="8">
        <f t="shared" si="1"/>
        <v>-4000</v>
      </c>
      <c r="M49">
        <f t="shared" si="2"/>
        <v>0</v>
      </c>
      <c r="N49" s="8">
        <f t="shared" si="3"/>
        <v>0</v>
      </c>
      <c r="O49" s="8">
        <f t="shared" si="4"/>
        <v>-4000</v>
      </c>
      <c r="P49" s="22"/>
    </row>
    <row r="50" spans="1:16" x14ac:dyDescent="0.3">
      <c r="A50" t="s">
        <v>197</v>
      </c>
      <c r="D50" s="8">
        <f>B34-D49</f>
        <v>8681.9752479314484</v>
      </c>
      <c r="F50" t="s">
        <v>131</v>
      </c>
      <c r="G50" s="3">
        <f>B36</f>
        <v>0.25</v>
      </c>
      <c r="H50" s="3">
        <f>B36</f>
        <v>0.25</v>
      </c>
      <c r="J50">
        <v>4700</v>
      </c>
      <c r="K50">
        <f t="shared" si="0"/>
        <v>-6000</v>
      </c>
      <c r="L50" s="8">
        <f t="shared" si="1"/>
        <v>-4000</v>
      </c>
      <c r="M50">
        <f t="shared" si="2"/>
        <v>0</v>
      </c>
      <c r="N50" s="8">
        <f t="shared" si="3"/>
        <v>0</v>
      </c>
      <c r="O50" s="8">
        <f t="shared" si="4"/>
        <v>-4000</v>
      </c>
      <c r="P50" s="22"/>
    </row>
    <row r="51" spans="1:16" x14ac:dyDescent="0.3">
      <c r="A51" t="s">
        <v>265</v>
      </c>
      <c r="D51" s="8">
        <f>G53*D47</f>
        <v>13141.479264215677</v>
      </c>
      <c r="F51" t="s">
        <v>135</v>
      </c>
      <c r="G51" s="7">
        <f xml:space="preserve"> 1 / (G50 * SQRT(G47)) * (LN(G45/G46) + (G48 - G49 + G50^2/2)*G47)</f>
        <v>0.4082879780810208</v>
      </c>
      <c r="H51" s="7">
        <f t="shared" ref="H51" si="5" xml:space="preserve"> 1 / (H50 * SQRT(H47)) * (LN(H45/H46) + (H48 - H49 + H50^2/2)*H47)</f>
        <v>0.245</v>
      </c>
      <c r="J51">
        <v>4750</v>
      </c>
      <c r="K51">
        <f t="shared" si="0"/>
        <v>-5000</v>
      </c>
      <c r="L51" s="8">
        <f t="shared" si="1"/>
        <v>-4000</v>
      </c>
      <c r="M51">
        <f t="shared" si="2"/>
        <v>0</v>
      </c>
      <c r="N51" s="8">
        <f t="shared" si="3"/>
        <v>0</v>
      </c>
      <c r="O51" s="8">
        <f t="shared" si="4"/>
        <v>-4000</v>
      </c>
      <c r="P51" s="22"/>
    </row>
    <row r="52" spans="1:16" x14ac:dyDescent="0.3">
      <c r="A52" t="s">
        <v>196</v>
      </c>
      <c r="D52" s="8">
        <f>D50-D51</f>
        <v>-4459.5040162842288</v>
      </c>
      <c r="F52" t="s">
        <v>136</v>
      </c>
      <c r="G52" s="7">
        <f xml:space="preserve"> 1 / (G50 * SQRT(G47)) * (LN(G45/G46) + (G48 - G49 - G50^2/2)*G47)</f>
        <v>0.1582879780810208</v>
      </c>
      <c r="H52" s="7">
        <f t="shared" ref="H52" si="6" xml:space="preserve"> 1 / (H50 * SQRT(H47)) * (LN(H45/H46) + (H48 - H49 - H50^2/2)*H47)</f>
        <v>-4.9999999999999906E-3</v>
      </c>
      <c r="J52">
        <v>4800</v>
      </c>
      <c r="K52">
        <f t="shared" si="0"/>
        <v>-4000</v>
      </c>
      <c r="L52" s="8">
        <f t="shared" si="1"/>
        <v>-4000</v>
      </c>
      <c r="M52">
        <f t="shared" si="2"/>
        <v>0</v>
      </c>
      <c r="N52" s="8">
        <f t="shared" si="3"/>
        <v>0</v>
      </c>
      <c r="O52" s="8">
        <f t="shared" si="4"/>
        <v>-4000</v>
      </c>
      <c r="P52" s="22"/>
    </row>
    <row r="53" spans="1:16" x14ac:dyDescent="0.3">
      <c r="A53" t="s">
        <v>266</v>
      </c>
      <c r="D53" s="5">
        <f>D52/H53</f>
        <v>-8.0179781716394913</v>
      </c>
      <c r="F53" t="s">
        <v>137</v>
      </c>
      <c r="G53" s="17">
        <f t="shared" ref="G53:H53" si="7">G45 * EXP(-G49*G47) *_xlfn.NORM.DIST(G51, 0, 1, 1) - G46 * EXP(-G48*G47) *_xlfn.NORM.DIST(G52, 0, 1, 1)</f>
        <v>657.07396321078386</v>
      </c>
      <c r="H53" s="17">
        <f t="shared" si="7"/>
        <v>556.18809640290692</v>
      </c>
      <c r="J53">
        <v>4850</v>
      </c>
      <c r="K53">
        <f t="shared" si="0"/>
        <v>-3000</v>
      </c>
      <c r="L53" s="8">
        <f t="shared" si="1"/>
        <v>-4000</v>
      </c>
      <c r="M53">
        <f t="shared" si="2"/>
        <v>1000</v>
      </c>
      <c r="N53" s="8">
        <f t="shared" si="3"/>
        <v>0</v>
      </c>
      <c r="O53" s="8">
        <f t="shared" si="4"/>
        <v>-3000</v>
      </c>
      <c r="P53" s="22"/>
    </row>
    <row r="54" spans="1:16" x14ac:dyDescent="0.3">
      <c r="A54" t="s">
        <v>198</v>
      </c>
      <c r="D54" s="23">
        <f>(D47+D53)/D47</f>
        <v>0.59910109141802548</v>
      </c>
      <c r="F54" t="s">
        <v>190</v>
      </c>
      <c r="G54" s="17">
        <f>(_xlfn.NORM.DIST(G51,0,1,TRUE)*EXP(-G49*G47))</f>
        <v>0.64543031068371792</v>
      </c>
      <c r="H54" s="17">
        <f t="shared" ref="H54" si="8">(_xlfn.NORM.DIST(H51,0,1,TRUE)*EXP(-H49*H47))</f>
        <v>0.58495491125788313</v>
      </c>
      <c r="J54">
        <v>4900</v>
      </c>
      <c r="K54">
        <f t="shared" si="0"/>
        <v>-2000</v>
      </c>
      <c r="L54" s="8">
        <f t="shared" si="1"/>
        <v>-4000</v>
      </c>
      <c r="M54">
        <f t="shared" si="2"/>
        <v>2000</v>
      </c>
      <c r="N54" s="8">
        <f t="shared" si="3"/>
        <v>0</v>
      </c>
      <c r="O54" s="8">
        <f t="shared" si="4"/>
        <v>-2000</v>
      </c>
      <c r="P54" s="22"/>
    </row>
    <row r="55" spans="1:16" x14ac:dyDescent="0.3">
      <c r="J55">
        <v>4950</v>
      </c>
      <c r="K55">
        <f t="shared" si="0"/>
        <v>-1000</v>
      </c>
      <c r="L55" s="8">
        <f t="shared" si="1"/>
        <v>-4000</v>
      </c>
      <c r="M55">
        <f t="shared" si="2"/>
        <v>3000</v>
      </c>
      <c r="N55" s="8">
        <f t="shared" si="3"/>
        <v>0</v>
      </c>
      <c r="O55" s="8">
        <f t="shared" si="4"/>
        <v>-1000</v>
      </c>
      <c r="P55" s="22"/>
    </row>
    <row r="56" spans="1:16" x14ac:dyDescent="0.3">
      <c r="A56" t="s">
        <v>200</v>
      </c>
      <c r="D56" s="5">
        <f>D47*G54 + D53*H54</f>
        <v>8.2184505038153368</v>
      </c>
      <c r="J56">
        <v>5000</v>
      </c>
      <c r="K56">
        <f t="shared" si="0"/>
        <v>0</v>
      </c>
      <c r="L56" s="8">
        <f t="shared" si="1"/>
        <v>-4000</v>
      </c>
      <c r="M56">
        <f t="shared" si="2"/>
        <v>4000</v>
      </c>
      <c r="N56" s="8">
        <f t="shared" si="3"/>
        <v>0</v>
      </c>
      <c r="O56" s="8">
        <f t="shared" si="4"/>
        <v>0</v>
      </c>
      <c r="P56" s="22"/>
    </row>
    <row r="57" spans="1:16" x14ac:dyDescent="0.3">
      <c r="A57" t="s">
        <v>267</v>
      </c>
      <c r="D57" s="5">
        <f>-D56</f>
        <v>-8.2184505038153368</v>
      </c>
      <c r="J57">
        <v>5050</v>
      </c>
      <c r="K57">
        <f t="shared" si="0"/>
        <v>1000</v>
      </c>
      <c r="L57" s="8">
        <f t="shared" si="1"/>
        <v>-4000</v>
      </c>
      <c r="M57">
        <f t="shared" si="2"/>
        <v>5000</v>
      </c>
      <c r="N57" s="8">
        <f t="shared" si="3"/>
        <v>-400.89890858197458</v>
      </c>
      <c r="O57" s="8">
        <f t="shared" si="4"/>
        <v>599.10109141802536</v>
      </c>
      <c r="P57" s="22">
        <f t="shared" ref="P57:P76" si="9">O57/K57</f>
        <v>0.59910109141802537</v>
      </c>
    </row>
    <row r="58" spans="1:16" x14ac:dyDescent="0.3">
      <c r="A58" t="s">
        <v>201</v>
      </c>
      <c r="D58" s="21">
        <f>-D57</f>
        <v>8.2184505038153368</v>
      </c>
      <c r="E58" t="s">
        <v>268</v>
      </c>
      <c r="J58">
        <v>5100</v>
      </c>
      <c r="K58">
        <f t="shared" si="0"/>
        <v>2000</v>
      </c>
      <c r="L58" s="8">
        <f t="shared" si="1"/>
        <v>-4000</v>
      </c>
      <c r="M58">
        <f t="shared" si="2"/>
        <v>6000</v>
      </c>
      <c r="N58" s="8">
        <f t="shared" si="3"/>
        <v>-801.79781716394916</v>
      </c>
      <c r="O58" s="8">
        <f t="shared" si="4"/>
        <v>1198.2021828360507</v>
      </c>
      <c r="P58" s="22">
        <f t="shared" si="9"/>
        <v>0.59910109141802537</v>
      </c>
    </row>
    <row r="59" spans="1:16" x14ac:dyDescent="0.3">
      <c r="J59">
        <v>5150</v>
      </c>
      <c r="K59">
        <f t="shared" si="0"/>
        <v>3000</v>
      </c>
      <c r="L59" s="8">
        <f t="shared" si="1"/>
        <v>-4000</v>
      </c>
      <c r="M59">
        <f t="shared" si="2"/>
        <v>7000</v>
      </c>
      <c r="N59" s="8">
        <f t="shared" si="3"/>
        <v>-1202.6967257459237</v>
      </c>
      <c r="O59" s="8">
        <f t="shared" si="4"/>
        <v>1797.3032742540763</v>
      </c>
      <c r="P59" s="22">
        <f t="shared" si="9"/>
        <v>0.59910109141802548</v>
      </c>
    </row>
    <row r="60" spans="1:16" x14ac:dyDescent="0.3">
      <c r="J60">
        <v>5200</v>
      </c>
      <c r="K60">
        <f t="shared" si="0"/>
        <v>4000</v>
      </c>
      <c r="L60" s="8">
        <f t="shared" si="1"/>
        <v>-4000</v>
      </c>
      <c r="M60">
        <f t="shared" si="2"/>
        <v>8000</v>
      </c>
      <c r="N60" s="8">
        <f t="shared" si="3"/>
        <v>-1603.5956343278983</v>
      </c>
      <c r="O60" s="8">
        <f t="shared" si="4"/>
        <v>2396.4043656721014</v>
      </c>
      <c r="P60" s="22">
        <f t="shared" si="9"/>
        <v>0.59910109141802537</v>
      </c>
    </row>
    <row r="61" spans="1:16" x14ac:dyDescent="0.3">
      <c r="J61">
        <v>5250</v>
      </c>
      <c r="K61">
        <f t="shared" si="0"/>
        <v>5000</v>
      </c>
      <c r="L61" s="8">
        <f t="shared" si="1"/>
        <v>-4000</v>
      </c>
      <c r="M61">
        <f t="shared" si="2"/>
        <v>9000</v>
      </c>
      <c r="N61" s="8">
        <f t="shared" si="3"/>
        <v>-2004.4945429098727</v>
      </c>
      <c r="O61" s="8">
        <f t="shared" si="4"/>
        <v>2995.5054570901275</v>
      </c>
      <c r="P61" s="22">
        <f t="shared" si="9"/>
        <v>0.59910109141802548</v>
      </c>
    </row>
    <row r="62" spans="1:16" x14ac:dyDescent="0.3">
      <c r="J62">
        <v>5300</v>
      </c>
      <c r="K62">
        <f t="shared" si="0"/>
        <v>6000</v>
      </c>
      <c r="L62" s="8">
        <f t="shared" si="1"/>
        <v>-4000</v>
      </c>
      <c r="M62">
        <f t="shared" si="2"/>
        <v>10000</v>
      </c>
      <c r="N62" s="8">
        <f t="shared" si="3"/>
        <v>-2405.3934514918474</v>
      </c>
      <c r="O62" s="8">
        <f t="shared" si="4"/>
        <v>3594.6065485081526</v>
      </c>
      <c r="P62" s="22">
        <f t="shared" si="9"/>
        <v>0.59910109141802548</v>
      </c>
    </row>
    <row r="63" spans="1:16" x14ac:dyDescent="0.3">
      <c r="J63">
        <v>5350</v>
      </c>
      <c r="K63">
        <f t="shared" si="0"/>
        <v>7000</v>
      </c>
      <c r="L63" s="8">
        <f t="shared" si="1"/>
        <v>-4000</v>
      </c>
      <c r="M63">
        <f t="shared" si="2"/>
        <v>11000</v>
      </c>
      <c r="N63" s="8">
        <f t="shared" si="3"/>
        <v>-2806.2923600738218</v>
      </c>
      <c r="O63" s="8">
        <f t="shared" si="4"/>
        <v>4193.7076399261787</v>
      </c>
      <c r="P63" s="22">
        <f t="shared" si="9"/>
        <v>0.59910109141802548</v>
      </c>
    </row>
    <row r="64" spans="1:16" x14ac:dyDescent="0.3">
      <c r="J64">
        <v>5400</v>
      </c>
      <c r="K64">
        <f t="shared" si="0"/>
        <v>8000</v>
      </c>
      <c r="L64" s="8">
        <f t="shared" si="1"/>
        <v>-4000</v>
      </c>
      <c r="M64">
        <f t="shared" si="2"/>
        <v>12000</v>
      </c>
      <c r="N64" s="8">
        <f t="shared" si="3"/>
        <v>-3207.1912686557966</v>
      </c>
      <c r="O64" s="8">
        <f t="shared" si="4"/>
        <v>4792.8087313442029</v>
      </c>
      <c r="P64" s="22">
        <f t="shared" si="9"/>
        <v>0.59910109141802537</v>
      </c>
    </row>
    <row r="65" spans="10:16" x14ac:dyDescent="0.3">
      <c r="J65">
        <v>5450</v>
      </c>
      <c r="K65">
        <f t="shared" si="0"/>
        <v>9000</v>
      </c>
      <c r="L65" s="8">
        <f t="shared" si="1"/>
        <v>-4000</v>
      </c>
      <c r="M65">
        <f t="shared" si="2"/>
        <v>13000</v>
      </c>
      <c r="N65" s="8">
        <f t="shared" si="3"/>
        <v>-3608.0901772377711</v>
      </c>
      <c r="O65" s="8">
        <f t="shared" si="4"/>
        <v>5391.9098227622289</v>
      </c>
      <c r="P65" s="22">
        <f t="shared" si="9"/>
        <v>0.59910109141802548</v>
      </c>
    </row>
    <row r="66" spans="10:16" x14ac:dyDescent="0.3">
      <c r="J66">
        <v>5500</v>
      </c>
      <c r="K66">
        <f t="shared" si="0"/>
        <v>10000</v>
      </c>
      <c r="L66" s="8">
        <f t="shared" si="1"/>
        <v>-4000</v>
      </c>
      <c r="M66">
        <f t="shared" si="2"/>
        <v>14000</v>
      </c>
      <c r="N66" s="8">
        <f t="shared" si="3"/>
        <v>-4008.9890858197455</v>
      </c>
      <c r="O66" s="8">
        <f t="shared" si="4"/>
        <v>5991.010914180255</v>
      </c>
      <c r="P66" s="22">
        <f t="shared" si="9"/>
        <v>0.59910109141802548</v>
      </c>
    </row>
    <row r="67" spans="10:16" x14ac:dyDescent="0.3">
      <c r="J67">
        <v>5550</v>
      </c>
      <c r="K67">
        <f t="shared" si="0"/>
        <v>11000</v>
      </c>
      <c r="L67" s="8">
        <f t="shared" si="1"/>
        <v>-4000</v>
      </c>
      <c r="M67">
        <f t="shared" si="2"/>
        <v>15000</v>
      </c>
      <c r="N67" s="8">
        <f t="shared" si="3"/>
        <v>-4409.8879944017199</v>
      </c>
      <c r="O67" s="8">
        <f t="shared" si="4"/>
        <v>6590.1120055982801</v>
      </c>
      <c r="P67" s="22">
        <f t="shared" si="9"/>
        <v>0.59910109141802548</v>
      </c>
    </row>
    <row r="68" spans="10:16" x14ac:dyDescent="0.3">
      <c r="J68">
        <v>5600</v>
      </c>
      <c r="K68">
        <f t="shared" si="0"/>
        <v>12000</v>
      </c>
      <c r="L68" s="8">
        <f t="shared" si="1"/>
        <v>-4000</v>
      </c>
      <c r="M68">
        <f t="shared" si="2"/>
        <v>16000</v>
      </c>
      <c r="N68" s="8">
        <f t="shared" si="3"/>
        <v>-4810.7869029836947</v>
      </c>
      <c r="O68" s="8">
        <f t="shared" si="4"/>
        <v>7189.2130970163053</v>
      </c>
      <c r="P68" s="22">
        <f t="shared" si="9"/>
        <v>0.59910109141802548</v>
      </c>
    </row>
    <row r="69" spans="10:16" x14ac:dyDescent="0.3">
      <c r="J69">
        <v>5650</v>
      </c>
      <c r="K69">
        <f t="shared" si="0"/>
        <v>13000</v>
      </c>
      <c r="L69" s="8">
        <f t="shared" si="1"/>
        <v>-4000</v>
      </c>
      <c r="M69">
        <f t="shared" si="2"/>
        <v>17000</v>
      </c>
      <c r="N69" s="8">
        <f t="shared" si="3"/>
        <v>-5211.6858115656696</v>
      </c>
      <c r="O69" s="8">
        <f t="shared" si="4"/>
        <v>7788.3141884343304</v>
      </c>
      <c r="P69" s="22">
        <f t="shared" si="9"/>
        <v>0.59910109141802537</v>
      </c>
    </row>
    <row r="70" spans="10:16" x14ac:dyDescent="0.3">
      <c r="J70">
        <v>5700</v>
      </c>
      <c r="K70">
        <f t="shared" si="0"/>
        <v>14000</v>
      </c>
      <c r="L70" s="8">
        <f t="shared" si="1"/>
        <v>-4000</v>
      </c>
      <c r="M70">
        <f t="shared" si="2"/>
        <v>18000</v>
      </c>
      <c r="N70" s="8">
        <f t="shared" si="3"/>
        <v>-5612.5847201476436</v>
      </c>
      <c r="O70" s="8">
        <f t="shared" si="4"/>
        <v>8387.4152798523573</v>
      </c>
      <c r="P70" s="22">
        <f t="shared" si="9"/>
        <v>0.59910109141802548</v>
      </c>
    </row>
    <row r="71" spans="10:16" x14ac:dyDescent="0.3">
      <c r="J71">
        <v>5750</v>
      </c>
      <c r="K71">
        <f t="shared" si="0"/>
        <v>15000</v>
      </c>
      <c r="L71" s="8">
        <f t="shared" si="1"/>
        <v>-4000</v>
      </c>
      <c r="M71">
        <f t="shared" si="2"/>
        <v>19000</v>
      </c>
      <c r="N71" s="8">
        <f t="shared" si="3"/>
        <v>-6013.4836287296184</v>
      </c>
      <c r="O71" s="8">
        <f t="shared" si="4"/>
        <v>8986.5163712703816</v>
      </c>
      <c r="P71" s="22">
        <f t="shared" si="9"/>
        <v>0.59910109141802548</v>
      </c>
    </row>
    <row r="72" spans="10:16" x14ac:dyDescent="0.3">
      <c r="J72">
        <v>5800</v>
      </c>
      <c r="K72">
        <f t="shared" si="0"/>
        <v>16000</v>
      </c>
      <c r="L72" s="8">
        <f t="shared" si="1"/>
        <v>-4000</v>
      </c>
      <c r="M72">
        <f t="shared" si="2"/>
        <v>20000</v>
      </c>
      <c r="N72" s="8">
        <f t="shared" si="3"/>
        <v>-6414.3825373115933</v>
      </c>
      <c r="O72" s="8">
        <f t="shared" si="4"/>
        <v>9585.6174626884058</v>
      </c>
      <c r="P72" s="22">
        <f t="shared" si="9"/>
        <v>0.59910109141802537</v>
      </c>
    </row>
    <row r="73" spans="10:16" x14ac:dyDescent="0.3">
      <c r="J73">
        <v>5850</v>
      </c>
      <c r="K73">
        <f t="shared" si="0"/>
        <v>17000</v>
      </c>
      <c r="L73" s="8">
        <f t="shared" si="1"/>
        <v>-4000</v>
      </c>
      <c r="M73">
        <f t="shared" si="2"/>
        <v>21000</v>
      </c>
      <c r="N73" s="8">
        <f t="shared" si="3"/>
        <v>-6815.2814458935673</v>
      </c>
      <c r="O73" s="8">
        <f t="shared" si="4"/>
        <v>10184.718554106432</v>
      </c>
      <c r="P73" s="22">
        <f t="shared" si="9"/>
        <v>0.59910109141802537</v>
      </c>
    </row>
    <row r="74" spans="10:16" x14ac:dyDescent="0.3">
      <c r="J74">
        <v>5900</v>
      </c>
      <c r="K74">
        <f t="shared" si="0"/>
        <v>18000</v>
      </c>
      <c r="L74" s="8">
        <f t="shared" si="1"/>
        <v>-4000</v>
      </c>
      <c r="M74">
        <f t="shared" si="2"/>
        <v>22000</v>
      </c>
      <c r="N74" s="8">
        <f t="shared" si="3"/>
        <v>-7216.1803544755421</v>
      </c>
      <c r="O74" s="8">
        <f t="shared" si="4"/>
        <v>10783.819645524458</v>
      </c>
      <c r="P74" s="22">
        <f t="shared" si="9"/>
        <v>0.59910109141802548</v>
      </c>
    </row>
    <row r="75" spans="10:16" x14ac:dyDescent="0.3">
      <c r="J75">
        <v>5950</v>
      </c>
      <c r="K75">
        <f t="shared" si="0"/>
        <v>19000</v>
      </c>
      <c r="L75" s="8">
        <f t="shared" si="1"/>
        <v>-4000</v>
      </c>
      <c r="M75">
        <f t="shared" si="2"/>
        <v>23000</v>
      </c>
      <c r="N75" s="8">
        <f t="shared" si="3"/>
        <v>-7617.079263057517</v>
      </c>
      <c r="O75" s="8">
        <f t="shared" si="4"/>
        <v>11382.920736942484</v>
      </c>
      <c r="P75" s="22">
        <f t="shared" si="9"/>
        <v>0.59910109141802548</v>
      </c>
    </row>
    <row r="76" spans="10:16" x14ac:dyDescent="0.3">
      <c r="J76">
        <v>6000</v>
      </c>
      <c r="K76">
        <f t="shared" si="0"/>
        <v>20000</v>
      </c>
      <c r="L76" s="8">
        <f t="shared" si="1"/>
        <v>-4000</v>
      </c>
      <c r="M76">
        <f t="shared" si="2"/>
        <v>24000</v>
      </c>
      <c r="N76" s="8">
        <f t="shared" si="3"/>
        <v>-8017.9781716394909</v>
      </c>
      <c r="O76" s="8">
        <f t="shared" si="4"/>
        <v>11982.02182836051</v>
      </c>
      <c r="P76" s="22">
        <f t="shared" si="9"/>
        <v>0.59910109141802548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Quiz</vt:lpstr>
      <vt:lpstr>Problem1</vt:lpstr>
      <vt:lpstr>Problem2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Bakulin</dc:creator>
  <cp:lastModifiedBy>Artem Bakulin</cp:lastModifiedBy>
  <dcterms:created xsi:type="dcterms:W3CDTF">2024-04-21T12:18:41Z</dcterms:created>
  <dcterms:modified xsi:type="dcterms:W3CDTF">2024-04-22T20:41:33Z</dcterms:modified>
</cp:coreProperties>
</file>