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Bak\homework\2024\"/>
    </mc:Choice>
  </mc:AlternateContent>
  <xr:revisionPtr revIDLastSave="0" documentId="13_ncr:1_{41E5CE3B-0A94-45F4-9EC4-DED6B9E83B02}" xr6:coauthVersionLast="47" xr6:coauthVersionMax="47" xr10:uidLastSave="{00000000-0000-0000-0000-000000000000}"/>
  <bookViews>
    <workbookView xWindow="10068" yWindow="1440" windowWidth="20652" windowHeight="12072" activeTab="5" xr2:uid="{8259285A-F71C-4937-A352-BDCA5430D67E}"/>
  </bookViews>
  <sheets>
    <sheet name="Problem1" sheetId="1" r:id="rId1"/>
    <sheet name="Problem2" sheetId="2" r:id="rId2"/>
    <sheet name="Problem3" sheetId="3" r:id="rId3"/>
    <sheet name="Problem4" sheetId="4" r:id="rId4"/>
    <sheet name="Problem5" sheetId="5" r:id="rId5"/>
    <sheet name="Problem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6" l="1"/>
  <c r="B54" i="6"/>
  <c r="C36" i="6"/>
  <c r="B36" i="6"/>
  <c r="C32" i="6"/>
  <c r="B32" i="6"/>
  <c r="B38" i="5"/>
  <c r="D36" i="5"/>
  <c r="E36" i="5"/>
  <c r="F36" i="5"/>
  <c r="G36" i="5"/>
  <c r="H36" i="5"/>
  <c r="C36" i="5"/>
  <c r="H35" i="5"/>
  <c r="C32" i="5"/>
  <c r="G31" i="5"/>
  <c r="E31" i="5"/>
  <c r="G34" i="5"/>
  <c r="H34" i="5" s="1"/>
  <c r="E34" i="5"/>
  <c r="F34" i="5" s="1"/>
  <c r="D33" i="5"/>
  <c r="F33" i="5" s="1"/>
  <c r="D32" i="5"/>
  <c r="D27" i="4"/>
  <c r="E27" i="4"/>
  <c r="F27" i="4"/>
  <c r="G27" i="4"/>
  <c r="H27" i="4"/>
  <c r="C27" i="4"/>
  <c r="G26" i="4"/>
  <c r="H26" i="4" s="1"/>
  <c r="E26" i="4"/>
  <c r="F26" i="4" s="1"/>
  <c r="C26" i="4"/>
  <c r="D26" i="4" s="1"/>
  <c r="G25" i="4"/>
  <c r="E25" i="4"/>
  <c r="C25" i="4"/>
  <c r="G23" i="4"/>
  <c r="E23" i="4"/>
  <c r="C23" i="4"/>
  <c r="D50" i="3"/>
  <c r="E50" i="3"/>
  <c r="F50" i="3"/>
  <c r="C50" i="3"/>
  <c r="F49" i="3"/>
  <c r="E49" i="3"/>
  <c r="E48" i="3"/>
  <c r="C48" i="3"/>
  <c r="C47" i="3"/>
  <c r="D47" i="3"/>
  <c r="F46" i="3"/>
  <c r="D46" i="3"/>
  <c r="B29" i="2"/>
  <c r="D27" i="2"/>
  <c r="E27" i="2"/>
  <c r="F27" i="2"/>
  <c r="C27" i="2"/>
  <c r="E26" i="2"/>
  <c r="F26" i="2"/>
  <c r="C25" i="2"/>
  <c r="D25" i="2"/>
  <c r="F24" i="2"/>
  <c r="D24" i="2"/>
  <c r="B17" i="1"/>
  <c r="B15" i="1"/>
  <c r="B14" i="1"/>
  <c r="B37" i="6" l="1"/>
  <c r="B38" i="6" s="1"/>
  <c r="B39" i="6" s="1"/>
  <c r="B40" i="6" s="1"/>
  <c r="B41" i="6" s="1"/>
  <c r="B42" i="6" s="1"/>
  <c r="B43" i="6" s="1"/>
  <c r="C38" i="6"/>
  <c r="B46" i="6"/>
  <c r="C46" i="6"/>
  <c r="H33" i="5"/>
  <c r="C33" i="6" l="1"/>
  <c r="C40" i="6" s="1"/>
  <c r="B47" i="6"/>
  <c r="C42" i="6" l="1"/>
  <c r="C47" i="6"/>
  <c r="B53" i="6"/>
</calcChain>
</file>

<file path=xl/sharedStrings.xml><?xml version="1.0" encoding="utf-8"?>
<sst xmlns="http://schemas.openxmlformats.org/spreadsheetml/2006/main" count="219" uniqueCount="187">
  <si>
    <t>Отложенный депозит (2 балла)</t>
  </si>
  <si>
    <t>Безрисковая бескупонная государственная облигация со сроком пога-</t>
  </si>
  <si>
    <t>шения 𝑇1 = 2 года стоит сейчас 𝑃1 = 94% номинала. Другая безрис-</t>
  </si>
  <si>
    <t>ковая бескупонная облигация со сроком погашения 𝑇2 = 4 года стоит</t>
  </si>
  <si>
    <t>𝑃2 = 88% номинала. Какова справедливая ставка по отложенному депо-</t>
  </si>
  <si>
    <t>зиту (непрерывная капитализация), который начнётся через 2 года и</t>
  </si>
  <si>
    <t>закончится через 4?</t>
  </si>
  <si>
    <t>P1</t>
  </si>
  <si>
    <t>T1</t>
  </si>
  <si>
    <t>P2</t>
  </si>
  <si>
    <t>T2</t>
  </si>
  <si>
    <t>Yield 1</t>
  </si>
  <si>
    <t>Yield 2</t>
  </si>
  <si>
    <t>Deposit</t>
  </si>
  <si>
    <t>Валютный своп (2 балла)</t>
  </si>
  <si>
    <t>Валютный своп (foreign exchange swap) — комбинация из покупки спота</t>
  </si>
  <si>
    <t>и продажи форварда (или из продажи спота и покупки форварда). Участ-</t>
  </si>
  <si>
    <t>ники финансового рынка используют валютные свопы, чтобы конвер-</t>
  </si>
  <si>
    <t>тировать кредиты или депозиты из одной валюты в другую.</t>
  </si>
  <si>
    <t>Представьте, что вы — российский банк. Вы не можете напрямую</t>
  </si>
  <si>
    <t>занимать доллары. Однако вы можете привлекать рубли и заключать</t>
  </si>
  <si>
    <t>сделки на рынке валютных спотов и форвардов. Предположим, что спот-</t>
  </si>
  <si>
    <t>курс пары USDRUB (доллар-рубль) 𝑆 = 90 рублей за доллар, годовой</t>
  </si>
  <si>
    <t>форвардный курс (𝑇 = 1 год) 𝐹 = 97. Вы можете занимать рубли по</t>
  </si>
  <si>
    <t>ставке 𝑟 = 15% (простые проценты без капитализации).</t>
  </si>
  <si>
    <t>Как при помощи доступных вам инструментов составить синтети-</t>
  </si>
  <si>
    <t>ческий кредит на $1 000 000? Какая получится эффективная процентная</t>
  </si>
  <si>
    <t>ставка (снова простые проценты без капитализации)?</t>
  </si>
  <si>
    <t>S</t>
  </si>
  <si>
    <t>F</t>
  </si>
  <si>
    <t>r</t>
  </si>
  <si>
    <t>T</t>
  </si>
  <si>
    <t>N [USD]</t>
  </si>
  <si>
    <t>Today</t>
  </si>
  <si>
    <t>In 1 year</t>
  </si>
  <si>
    <t>1. Borrow RUB</t>
  </si>
  <si>
    <t>USD</t>
  </si>
  <si>
    <t>RUB</t>
  </si>
  <si>
    <t>2. Buy USDRUB spot</t>
  </si>
  <si>
    <t>3. Sell USDRUB forward</t>
  </si>
  <si>
    <t>Total</t>
  </si>
  <si>
    <t>USD rate</t>
  </si>
  <si>
    <t>Артём и золото (2 балла)</t>
  </si>
  <si>
    <t>Трейдер Артём изучает рынок драгоценных металлов. Артём выяснил,</t>
  </si>
  <si>
    <t>что в мире два основных центра торговли золотом: спотовый внебирже-</t>
  </si>
  <si>
    <t>вой рынок в Лондоне и рынок фьючерсов на золото на Чикагской бирже</t>
  </si>
  <si>
    <t>(Chicago Mercantile Exchange, CME).</t>
  </si>
  <si>
    <t>Спотовая цена в Лондоне составляет 𝑆 = $2 100 долларов за унцию.</t>
  </si>
  <si>
    <t>Декабрьский фьючерс (поставка через 𝑇 = 0.5 года) в Чикаго стоит 𝐹 =</t>
  </si>
  <si>
    <t>$2 155 за унцию. Безрисковая процентная ставка в долларах на полгода</t>
  </si>
  <si>
    <t>составляет 𝑟 = 5% (непрерывная капитализация). Артём считает, что</t>
  </si>
  <si>
    <t>сможет при необходимости хранить золото в течение полугода в сейфе</t>
  </si>
  <si>
    <t>в офисе совершенно бесплатно (𝑞 = 0%).</t>
  </si>
  <si>
    <t>Какова теоретический честный курс фьючерса при таком соотноше-</t>
  </si>
  <si>
    <t>нии спотовой цены, фьючерса, процентной ставки и стоимости хране-</t>
  </si>
  <si>
    <t>ния? Предложите арбитражную стратегию, которая позволит заработать</t>
  </si>
  <si>
    <t>на ошибке рынка. Считайте, что Артём может как вкладывать, так и за-</t>
  </si>
  <si>
    <t>нимать доллары под безрисковую ставку.</t>
  </si>
  <si>
    <t>Когда Артём пришёл с этой блестящей торговой стратегией к на-</t>
  </si>
  <si>
    <t>чальнику, тот напомнил, что, вообще-то, Лондон и Чикаго находятся по</t>
  </si>
  <si>
    <t>разные стороны Атлантического океана. Кроме того, в Лондоне обычно</t>
  </si>
  <si>
    <t>торгуются слитки по 400 унций, а в Чикаго - по 1000. Прежде чем зо-</t>
  </si>
  <si>
    <t>лото пересечёт океан, его ещё придётся переплавить из слитков одного</t>
  </si>
  <si>
    <t>размера в другой размер. При какой суммарной стоимости переплав-</t>
  </si>
  <si>
    <t>ки и транспортировки (в долларах за унцию) арбиртражная стратегия</t>
  </si>
  <si>
    <t>выйдет хотя бы в ноль?</t>
  </si>
  <si>
    <t>Указание: представьте, что имеете дело с валютным форвардом на</t>
  </si>
  <si>
    <t>валютную пару XAUUSD.</t>
  </si>
  <si>
    <t>Интересный факт: обычно разность между Чикаго и Лондоном не</t>
  </si>
  <si>
    <t>превышает $1–$2 за унцию. При большей разности арбитраж стано-</t>
  </si>
  <si>
    <t>вится экономически оправданным. Хедж-фонды буквально покупают</t>
  </si>
  <si>
    <t>золото на одном берегу, везут его самолётами на другой как обычный</t>
  </si>
  <si>
    <t>коммерческий груз, а потом платят металлургическим заводам за пере-</t>
  </si>
  <si>
    <t>плавку. Как вы можете догадаться, в начале 2020 года в разгар локдаунов</t>
  </si>
  <si>
    <t>самолёты не летали, а заводы не работали. Арбитраж был невозможен,</t>
  </si>
  <si>
    <t>и разность цен доходила до $50 за унцию. Отличный пример несов-</t>
  </si>
  <si>
    <t>падения теории (цены должны быть равны) и практики (если рынки</t>
  </si>
  <si>
    <t>изолированны друг от друга, то цены могут разойтись).</t>
  </si>
  <si>
    <t>r [USD]</t>
  </si>
  <si>
    <t>q [XAU]</t>
  </si>
  <si>
    <t>In 0.5 years</t>
  </si>
  <si>
    <t>XAU</t>
  </si>
  <si>
    <t>1. Borrow USD</t>
  </si>
  <si>
    <t>2. Buy spot</t>
  </si>
  <si>
    <t>3. Store XAU</t>
  </si>
  <si>
    <t>4. Sell a futures</t>
  </si>
  <si>
    <t>// Max overhead cost to make the strategy viable</t>
  </si>
  <si>
    <t>Беспоставочный форвард (3 балла)</t>
  </si>
  <si>
    <t>Тайваньский производитель чипов договорился о поставке партии чи-</t>
  </si>
  <si>
    <t>пов в США. По условиям контракта, через 3 месяца он получит 𝑁 =</t>
  </si>
  <si>
    <t>$10 000 000 от своего клиента из США. Экспортёр планирует через 3 ме-</t>
  </si>
  <si>
    <t>сяца продать все полученные американские доллары (USD) и купить</t>
  </si>
  <si>
    <t>свои местные тайваньские (TWD).</t>
  </si>
  <si>
    <t>Беспоставоный форвард на пару USDTWD (доллар США - тайвань-</t>
  </si>
  <si>
    <t>ский доллар) стоит 𝐹 = 35 (35 тайваньских долларов за 1 американский).</t>
  </si>
  <si>
    <t>Должен ли импортёр купить или продать беспоставочный форвард, что-</t>
  </si>
  <si>
    <t>бы захеджировать валютный риск?</t>
  </si>
  <si>
    <t>Убедитесь, что хедж действительно работает в трёх сценариях: спот-</t>
  </si>
  <si>
    <t>курс через 3 месяца 𝑆1 = 30, 𝑆2 = 35, 𝑆3 = 40. В каждом из этих сценариев</t>
  </si>
  <si>
    <t>посчитайте, сколько американских долларов импортёр заработает или</t>
  </si>
  <si>
    <t>потеряет на беспоставочном форварде, сколько американских долларов</t>
  </si>
  <si>
    <t>он продаст в рынок, и сколько тайваньских долларов он в итоге получит.</t>
  </si>
  <si>
    <t>F [USDTWD]</t>
  </si>
  <si>
    <t>S1</t>
  </si>
  <si>
    <t>S2</t>
  </si>
  <si>
    <t>S3</t>
  </si>
  <si>
    <t>1. Sell the forward</t>
  </si>
  <si>
    <t>TWD</t>
  </si>
  <si>
    <t>2. Sell the spot in 3 months</t>
  </si>
  <si>
    <t>Whatever happens the company sells 10mm USD and receives 350mm TWD</t>
  </si>
  <si>
    <t>Форвард с дивидендами (3 балла)</t>
  </si>
  <si>
    <t>Некоторая привилегированная акция стоит 𝑆 = 100 рублей. Через 3 ме-</t>
  </si>
  <si>
    <t>сяца акция может выплатить (а может и не выплатить) фиксированный</t>
  </si>
  <si>
    <t>дивиденд 𝐷 = 5 рублей. Полугодовой форвард на эту акцию (𝑇 = 0.5</t>
  </si>
  <si>
    <t>года) стоит 𝐹 = 101 рубль. Безрисковая процентная ставка в рублях,</t>
  </si>
  <si>
    <t>по которой можно и занимать, и размещать рубли, 𝑟 = 10% (простые</t>
  </si>
  <si>
    <t>проценты без капитализации). Продажа акций в короткую (шорт) раз-</t>
  </si>
  <si>
    <t>решена и бесплатна.</t>
  </si>
  <si>
    <t>Какую вероятность 𝑝 выплаты дивиденда участники рынка закла-</t>
  </si>
  <si>
    <t>дывают в цену форварда? Реинвестированием полученного дивиденда</t>
  </si>
  <si>
    <t>пренебречь.</t>
  </si>
  <si>
    <t>Указание. Представьте, что дивиденда совершенно точно не будет.</t>
  </si>
  <si>
    <t>Тогда на рынке явно есть арбитражная стратегия. Как она выглядит и</t>
  </si>
  <si>
    <t>сколько принесёт арбитражёру? Какой убыток она принесёт, если диви-</t>
  </si>
  <si>
    <t>денд каким-то чудом всё-таки выплатят? Помните, что если вы продали</t>
  </si>
  <si>
    <t>акцию в короткую (зашортили), а она возьми да и выплати дивиденд,</t>
  </si>
  <si>
    <t>то вам придётся заплатить дивиденд владельцу акции из своего кар-</t>
  </si>
  <si>
    <t>мана. При какой вероятности выплаты дивиденда псевдо-арбитражная</t>
  </si>
  <si>
    <t>стратегия в среднем выходит в ноль?</t>
  </si>
  <si>
    <t>D</t>
  </si>
  <si>
    <t>Pseudo-arbitrage strategy:</t>
  </si>
  <si>
    <t>No dividend</t>
  </si>
  <si>
    <t>The dividend is paid</t>
  </si>
  <si>
    <t>Stock</t>
  </si>
  <si>
    <t>1. Borrow the stock</t>
  </si>
  <si>
    <t>2. Sell the stock short</t>
  </si>
  <si>
    <t>3. Invest RUB</t>
  </si>
  <si>
    <t>4. Buy the forward</t>
  </si>
  <si>
    <t>5. Pay the dividend to the owner</t>
  </si>
  <si>
    <t>Probability</t>
  </si>
  <si>
    <t>// -1*p + 4*(1-p)=0</t>
  </si>
  <si>
    <t>Базисный своп (3 балла)</t>
  </si>
  <si>
    <t>В таблице ниже представлены котировки рынка свопов на трёхмесяч-</t>
  </si>
  <si>
    <t>ный EURIBOR (одна сторона раз в квартал платит фиксированный ку-</t>
  </si>
  <si>
    <t>пон, а вторая — трёхмесячный EURIBOR) и свопов на шестимесячный</t>
  </si>
  <si>
    <t>EURIBOR (одна сторона раз в полгода платит фиксированный купон,</t>
  </si>
  <si>
    <t>вторая — шестимесячный EURIBOR).</t>
  </si>
  <si>
    <t>Пренебрегая дисконтированием и используя предположение о ли-</t>
  </si>
  <si>
    <t>нейной интерполяции, рассчитайте «ожидаемые» значения трёхмесяч-</t>
  </si>
  <si>
    <t>ного и шестимесячного EURIBOR.</t>
  </si>
  <si>
    <t>Инструмент 3M EURIBOR 6M EURIBOR</t>
  </si>
  <si>
    <t>Последний фиксинг 3.50% 3.80%</t>
  </si>
  <si>
    <t>Своп на 1 год 3.40% 3.60%</t>
  </si>
  <si>
    <t>Своп на 2 года 3.20% 3.40%</t>
  </si>
  <si>
    <t>Базисный своп 3M-6M (tenor-basis swap, TBS) — процентный своп, в</t>
  </si>
  <si>
    <t>котором платежи обеих сторон привязаны к плавающим ставкам. Пер-</t>
  </si>
  <si>
    <t>вая сторона раз в полгода платит шестимесячный EURIBOR. Вторая сто-</t>
  </si>
  <si>
    <t>рона раз в квартал платит трёхмесячный EURIBOR плюс 𝑥%, где 𝑥 — цена</t>
  </si>
  <si>
    <t>свопа, о которой стороны и должны договориться. Этот 𝑥 ещё называют</t>
  </si>
  <si>
    <t>«базис». Пример такого свопа есть в слайдах с лекции. Cвоп позволяет,</t>
  </si>
  <si>
    <t>например, превратить кредит под трёхмесячный EURIBOR в кредит под</t>
  </si>
  <si>
    <t>шестимесячный EURIBOR.</t>
  </si>
  <si>
    <t>Используя полученные ранее «ожидаемые» значения EURIBOR, по-</t>
  </si>
  <si>
    <t>считайте честный базис для двухлетнего базисного свопа 3M-6M. Дис-</t>
  </si>
  <si>
    <t>контированием по-прежнему можно пренебречь. Видите ли вы более</t>
  </si>
  <si>
    <t>лёгкий способ вычислить базис?</t>
  </si>
  <si>
    <t>3M EURIBOR</t>
  </si>
  <si>
    <t>6M EURIBOR</t>
  </si>
  <si>
    <t>Fixing</t>
  </si>
  <si>
    <t>Swap 1Y</t>
  </si>
  <si>
    <t>Swap 2Y</t>
  </si>
  <si>
    <t>1Y Step</t>
  </si>
  <si>
    <t>2Y Step</t>
  </si>
  <si>
    <t>Months</t>
  </si>
  <si>
    <t>3M Euribor</t>
  </si>
  <si>
    <t>6M Euribor</t>
  </si>
  <si>
    <t>Cross-check that our fixings result in the same swap rates as the market</t>
  </si>
  <si>
    <t>1Y Swap</t>
  </si>
  <si>
    <t>2Y Swap</t>
  </si>
  <si>
    <t>3M-6M Basis</t>
  </si>
  <si>
    <t>3M Leg</t>
  </si>
  <si>
    <t>8 * (Euribor 3M + x) * 1 / 4</t>
  </si>
  <si>
    <t>6M Leg</t>
  </si>
  <si>
    <t>4 * EURIBOR 6M * 1 / 2</t>
  </si>
  <si>
    <t>Basis</t>
  </si>
  <si>
    <t>Simple</t>
  </si>
  <si>
    <t>// the step that makes interpolation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</si>
</sst>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9" fontId="0" fillId="2" borderId="0" xfId="0" applyNumberFormat="1" applyFill="1"/>
    <xf numFmtId="0" fontId="0" fillId="2" borderId="0" xfId="0" applyFill="1"/>
    <xf numFmtId="10" fontId="0" fillId="0" borderId="0" xfId="0" applyNumberFormat="1"/>
    <xf numFmtId="10" fontId="0" fillId="3" borderId="0" xfId="0" applyNumberFormat="1" applyFill="1"/>
    <xf numFmtId="4" fontId="0" fillId="0" borderId="0" xfId="0" applyNumberFormat="1"/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4" fontId="0" fillId="3" borderId="0" xfId="0" applyNumberFormat="1" applyFill="1"/>
    <xf numFmtId="0" fontId="0" fillId="0" borderId="0" xfId="0" applyAlignment="1"/>
    <xf numFmtId="4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166" fontId="0" fillId="0" borderId="0" xfId="0" applyNumberFormat="1"/>
    <xf numFmtId="10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5C00-D12E-4A21-92A2-AD6176959981}">
  <dimension ref="A1:B17"/>
  <sheetViews>
    <sheetView workbookViewId="0">
      <selection activeCell="B12" sqref="B9:B12"/>
    </sheetView>
  </sheetViews>
  <sheetFormatPr defaultRowHeight="14.4" x14ac:dyDescent="0.3"/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9" spans="1:2" x14ac:dyDescent="0.3">
      <c r="A9" t="s">
        <v>7</v>
      </c>
      <c r="B9" s="2">
        <v>0.94</v>
      </c>
    </row>
    <row r="10" spans="1:2" x14ac:dyDescent="0.3">
      <c r="A10" t="s">
        <v>8</v>
      </c>
      <c r="B10" s="3">
        <v>2</v>
      </c>
    </row>
    <row r="11" spans="1:2" x14ac:dyDescent="0.3">
      <c r="A11" t="s">
        <v>9</v>
      </c>
      <c r="B11" s="2">
        <v>0.88</v>
      </c>
    </row>
    <row r="12" spans="1:2" x14ac:dyDescent="0.3">
      <c r="A12" t="s">
        <v>10</v>
      </c>
      <c r="B12" s="3">
        <v>4</v>
      </c>
    </row>
    <row r="14" spans="1:2" x14ac:dyDescent="0.3">
      <c r="A14" t="s">
        <v>11</v>
      </c>
      <c r="B14" s="4">
        <f>-LN(B9)/B10</f>
        <v>3.0937701859043765E-2</v>
      </c>
    </row>
    <row r="15" spans="1:2" x14ac:dyDescent="0.3">
      <c r="A15" t="s">
        <v>12</v>
      </c>
      <c r="B15" s="4">
        <f>-LN(B11)/B12</f>
        <v>3.1958342877471221E-2</v>
      </c>
    </row>
    <row r="17" spans="1:2" x14ac:dyDescent="0.3">
      <c r="A17" t="s">
        <v>13</v>
      </c>
      <c r="B17" s="5">
        <f>(B15*B12-B14*B10)/(B12-B10)</f>
        <v>3.2978983895898678E-2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DF80-344E-47EE-B140-B6D9F5B8FBE1}">
  <dimension ref="A1:F29"/>
  <sheetViews>
    <sheetView workbookViewId="0">
      <selection activeCell="B29" sqref="B29"/>
    </sheetView>
  </sheetViews>
  <sheetFormatPr defaultRowHeight="14.4" x14ac:dyDescent="0.3"/>
  <cols>
    <col min="2" max="3" width="8.88671875" customWidth="1"/>
    <col min="4" max="4" width="10.77734375" bestFit="1" customWidth="1"/>
    <col min="5" max="5" width="12.33203125" bestFit="1" customWidth="1"/>
    <col min="6" max="6" width="11.77734375" bestFit="1" customWidth="1"/>
  </cols>
  <sheetData>
    <row r="1" spans="1:2" s="1" customFormat="1" x14ac:dyDescent="0.3">
      <c r="A1" s="1" t="s">
        <v>14</v>
      </c>
    </row>
    <row r="2" spans="1:2" x14ac:dyDescent="0.3">
      <c r="A2" t="s">
        <v>15</v>
      </c>
    </row>
    <row r="3" spans="1:2" x14ac:dyDescent="0.3">
      <c r="A3" t="s">
        <v>16</v>
      </c>
    </row>
    <row r="4" spans="1:2" x14ac:dyDescent="0.3">
      <c r="A4" t="s">
        <v>17</v>
      </c>
    </row>
    <row r="5" spans="1:2" x14ac:dyDescent="0.3">
      <c r="A5" t="s">
        <v>18</v>
      </c>
    </row>
    <row r="6" spans="1:2" x14ac:dyDescent="0.3">
      <c r="A6" t="s">
        <v>19</v>
      </c>
    </row>
    <row r="7" spans="1:2" x14ac:dyDescent="0.3">
      <c r="A7" t="s">
        <v>20</v>
      </c>
    </row>
    <row r="8" spans="1:2" x14ac:dyDescent="0.3">
      <c r="A8" t="s">
        <v>21</v>
      </c>
    </row>
    <row r="9" spans="1:2" x14ac:dyDescent="0.3">
      <c r="A9" t="s">
        <v>22</v>
      </c>
    </row>
    <row r="10" spans="1:2" x14ac:dyDescent="0.3">
      <c r="A10" t="s">
        <v>23</v>
      </c>
    </row>
    <row r="11" spans="1:2" x14ac:dyDescent="0.3">
      <c r="A11" t="s">
        <v>24</v>
      </c>
    </row>
    <row r="12" spans="1:2" x14ac:dyDescent="0.3">
      <c r="A12" t="s">
        <v>25</v>
      </c>
    </row>
    <row r="13" spans="1:2" x14ac:dyDescent="0.3">
      <c r="A13" t="s">
        <v>26</v>
      </c>
    </row>
    <row r="14" spans="1:2" x14ac:dyDescent="0.3">
      <c r="A14" t="s">
        <v>27</v>
      </c>
    </row>
    <row r="16" spans="1:2" x14ac:dyDescent="0.3">
      <c r="A16" t="s">
        <v>28</v>
      </c>
      <c r="B16" s="3">
        <v>90</v>
      </c>
    </row>
    <row r="17" spans="1:6" x14ac:dyDescent="0.3">
      <c r="A17" t="s">
        <v>29</v>
      </c>
      <c r="B17" s="3">
        <v>97</v>
      </c>
    </row>
    <row r="18" spans="1:6" x14ac:dyDescent="0.3">
      <c r="A18" t="s">
        <v>30</v>
      </c>
      <c r="B18" s="2">
        <v>0.15</v>
      </c>
    </row>
    <row r="19" spans="1:6" x14ac:dyDescent="0.3">
      <c r="A19" t="s">
        <v>31</v>
      </c>
      <c r="B19" s="3">
        <v>1</v>
      </c>
    </row>
    <row r="20" spans="1:6" x14ac:dyDescent="0.3">
      <c r="A20" t="s">
        <v>32</v>
      </c>
      <c r="B20" s="8">
        <v>1000000</v>
      </c>
    </row>
    <row r="22" spans="1:6" x14ac:dyDescent="0.3">
      <c r="C22" s="9" t="s">
        <v>33</v>
      </c>
      <c r="D22" s="9"/>
      <c r="E22" s="9" t="s">
        <v>34</v>
      </c>
      <c r="F22" s="9"/>
    </row>
    <row r="23" spans="1:6" x14ac:dyDescent="0.3">
      <c r="C23" s="10" t="s">
        <v>36</v>
      </c>
      <c r="D23" s="10" t="s">
        <v>37</v>
      </c>
      <c r="E23" s="10" t="s">
        <v>36</v>
      </c>
      <c r="F23" s="10" t="s">
        <v>37</v>
      </c>
    </row>
    <row r="24" spans="1:6" x14ac:dyDescent="0.3">
      <c r="A24" t="s">
        <v>35</v>
      </c>
      <c r="D24" s="7">
        <f>B20*B16</f>
        <v>90000000</v>
      </c>
      <c r="F24" s="7">
        <f>-D24*(1+B18*B19)</f>
        <v>-103499999.99999999</v>
      </c>
    </row>
    <row r="25" spans="1:6" x14ac:dyDescent="0.3">
      <c r="A25" t="s">
        <v>38</v>
      </c>
      <c r="C25" s="7">
        <f>-D25/B16</f>
        <v>1000000</v>
      </c>
      <c r="D25" s="7">
        <f>-D24</f>
        <v>-90000000</v>
      </c>
    </row>
    <row r="26" spans="1:6" x14ac:dyDescent="0.3">
      <c r="A26" t="s">
        <v>39</v>
      </c>
      <c r="E26" s="7">
        <f>-F26/B17</f>
        <v>-1067010.3092783503</v>
      </c>
      <c r="F26" s="7">
        <f>-F24</f>
        <v>103499999.99999999</v>
      </c>
    </row>
    <row r="27" spans="1:6" x14ac:dyDescent="0.3">
      <c r="A27" t="s">
        <v>40</v>
      </c>
      <c r="C27" s="7">
        <f>SUM(C24:C26)</f>
        <v>1000000</v>
      </c>
      <c r="D27" s="7">
        <f t="shared" ref="D27:F27" si="0">SUM(D24:D26)</f>
        <v>0</v>
      </c>
      <c r="E27" s="7">
        <f t="shared" si="0"/>
        <v>-1067010.3092783503</v>
      </c>
      <c r="F27" s="7">
        <f t="shared" si="0"/>
        <v>0</v>
      </c>
    </row>
    <row r="29" spans="1:6" x14ac:dyDescent="0.3">
      <c r="A29" t="s">
        <v>41</v>
      </c>
      <c r="B29" s="5">
        <f>(-E27/C27 - 1)/B19</f>
        <v>6.7010309278350277E-2</v>
      </c>
    </row>
  </sheetData>
  <mergeCells count="2">
    <mergeCell ref="E22:F22"/>
    <mergeCell ref="C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E88A-D13F-4EFA-BE2B-4F04010A9771}">
  <dimension ref="A1:G50"/>
  <sheetViews>
    <sheetView workbookViewId="0"/>
  </sheetViews>
  <sheetFormatPr defaultRowHeight="14.4" x14ac:dyDescent="0.3"/>
  <sheetData>
    <row r="1" spans="1:1" x14ac:dyDescent="0.3">
      <c r="A1" s="1" t="s">
        <v>42</v>
      </c>
    </row>
    <row r="2" spans="1:1" x14ac:dyDescent="0.3">
      <c r="A2" t="s">
        <v>43</v>
      </c>
    </row>
    <row r="3" spans="1:1" x14ac:dyDescent="0.3">
      <c r="A3" t="s">
        <v>44</v>
      </c>
    </row>
    <row r="4" spans="1:1" x14ac:dyDescent="0.3">
      <c r="A4" t="s">
        <v>45</v>
      </c>
    </row>
    <row r="5" spans="1:1" x14ac:dyDescent="0.3">
      <c r="A5" t="s">
        <v>46</v>
      </c>
    </row>
    <row r="6" spans="1:1" x14ac:dyDescent="0.3">
      <c r="A6" t="s">
        <v>47</v>
      </c>
    </row>
    <row r="7" spans="1:1" x14ac:dyDescent="0.3">
      <c r="A7" t="s">
        <v>48</v>
      </c>
    </row>
    <row r="8" spans="1:1" x14ac:dyDescent="0.3">
      <c r="A8" t="s">
        <v>49</v>
      </c>
    </row>
    <row r="9" spans="1:1" x14ac:dyDescent="0.3">
      <c r="A9" t="s">
        <v>50</v>
      </c>
    </row>
    <row r="10" spans="1:1" x14ac:dyDescent="0.3">
      <c r="A10" t="s">
        <v>51</v>
      </c>
    </row>
    <row r="11" spans="1:1" x14ac:dyDescent="0.3">
      <c r="A11" t="s">
        <v>52</v>
      </c>
    </row>
    <row r="12" spans="1:1" x14ac:dyDescent="0.3">
      <c r="A12" t="s">
        <v>53</v>
      </c>
    </row>
    <row r="13" spans="1:1" x14ac:dyDescent="0.3">
      <c r="A13" t="s">
        <v>54</v>
      </c>
    </row>
    <row r="14" spans="1:1" x14ac:dyDescent="0.3">
      <c r="A14" t="s">
        <v>55</v>
      </c>
    </row>
    <row r="15" spans="1:1" x14ac:dyDescent="0.3">
      <c r="A15" t="s">
        <v>56</v>
      </c>
    </row>
    <row r="16" spans="1:1" x14ac:dyDescent="0.3">
      <c r="A16" t="s">
        <v>57</v>
      </c>
    </row>
    <row r="17" spans="1:1" x14ac:dyDescent="0.3">
      <c r="A17" t="s">
        <v>58</v>
      </c>
    </row>
    <row r="18" spans="1:1" x14ac:dyDescent="0.3">
      <c r="A18" t="s">
        <v>59</v>
      </c>
    </row>
    <row r="19" spans="1:1" x14ac:dyDescent="0.3">
      <c r="A19" t="s">
        <v>60</v>
      </c>
    </row>
    <row r="20" spans="1:1" x14ac:dyDescent="0.3">
      <c r="A20" t="s">
        <v>61</v>
      </c>
    </row>
    <row r="21" spans="1:1" x14ac:dyDescent="0.3">
      <c r="A21" t="s">
        <v>62</v>
      </c>
    </row>
    <row r="22" spans="1:1" x14ac:dyDescent="0.3">
      <c r="A22" t="s">
        <v>63</v>
      </c>
    </row>
    <row r="23" spans="1:1" x14ac:dyDescent="0.3">
      <c r="A23" t="s">
        <v>64</v>
      </c>
    </row>
    <row r="24" spans="1:1" x14ac:dyDescent="0.3">
      <c r="A24" t="s">
        <v>65</v>
      </c>
    </row>
    <row r="25" spans="1:1" x14ac:dyDescent="0.3">
      <c r="A25" t="s">
        <v>66</v>
      </c>
    </row>
    <row r="26" spans="1:1" x14ac:dyDescent="0.3">
      <c r="A26" t="s">
        <v>67</v>
      </c>
    </row>
    <row r="27" spans="1:1" x14ac:dyDescent="0.3">
      <c r="A27" t="s">
        <v>68</v>
      </c>
    </row>
    <row r="28" spans="1:1" x14ac:dyDescent="0.3">
      <c r="A28" t="s">
        <v>69</v>
      </c>
    </row>
    <row r="29" spans="1:1" x14ac:dyDescent="0.3">
      <c r="A29" t="s">
        <v>70</v>
      </c>
    </row>
    <row r="30" spans="1:1" x14ac:dyDescent="0.3">
      <c r="A30" t="s">
        <v>71</v>
      </c>
    </row>
    <row r="31" spans="1:1" x14ac:dyDescent="0.3">
      <c r="A31" t="s">
        <v>72</v>
      </c>
    </row>
    <row r="32" spans="1:1" x14ac:dyDescent="0.3">
      <c r="A32" t="s">
        <v>73</v>
      </c>
    </row>
    <row r="33" spans="1:6" x14ac:dyDescent="0.3">
      <c r="A33" t="s">
        <v>74</v>
      </c>
    </row>
    <row r="34" spans="1:6" x14ac:dyDescent="0.3">
      <c r="A34" t="s">
        <v>75</v>
      </c>
    </row>
    <row r="35" spans="1:6" x14ac:dyDescent="0.3">
      <c r="A35" t="s">
        <v>76</v>
      </c>
    </row>
    <row r="36" spans="1:6" x14ac:dyDescent="0.3">
      <c r="A36" t="s">
        <v>77</v>
      </c>
    </row>
    <row r="38" spans="1:6" x14ac:dyDescent="0.3">
      <c r="A38" t="s">
        <v>28</v>
      </c>
      <c r="B38" s="8">
        <v>2100</v>
      </c>
    </row>
    <row r="39" spans="1:6" x14ac:dyDescent="0.3">
      <c r="A39" t="s">
        <v>29</v>
      </c>
      <c r="B39" s="8">
        <v>2155</v>
      </c>
    </row>
    <row r="40" spans="1:6" x14ac:dyDescent="0.3">
      <c r="A40" t="s">
        <v>78</v>
      </c>
      <c r="B40" s="2">
        <v>0.05</v>
      </c>
    </row>
    <row r="41" spans="1:6" x14ac:dyDescent="0.3">
      <c r="A41" t="s">
        <v>79</v>
      </c>
      <c r="B41" s="2">
        <v>0</v>
      </c>
    </row>
    <row r="42" spans="1:6" x14ac:dyDescent="0.3">
      <c r="A42" t="s">
        <v>31</v>
      </c>
      <c r="B42" s="3">
        <v>0.5</v>
      </c>
    </row>
    <row r="44" spans="1:6" x14ac:dyDescent="0.3">
      <c r="C44" s="9" t="s">
        <v>33</v>
      </c>
      <c r="D44" s="9"/>
      <c r="E44" s="9" t="s">
        <v>80</v>
      </c>
      <c r="F44" s="9"/>
    </row>
    <row r="45" spans="1:6" x14ac:dyDescent="0.3">
      <c r="C45" t="s">
        <v>81</v>
      </c>
      <c r="D45" t="s">
        <v>36</v>
      </c>
      <c r="E45" t="s">
        <v>81</v>
      </c>
      <c r="F45" t="s">
        <v>36</v>
      </c>
    </row>
    <row r="46" spans="1:6" x14ac:dyDescent="0.3">
      <c r="A46" t="s">
        <v>82</v>
      </c>
      <c r="D46" s="7">
        <f>B38</f>
        <v>2100</v>
      </c>
      <c r="F46" s="6">
        <f>-D46*EXP(B40*B42)</f>
        <v>-2153.1617531013007</v>
      </c>
    </row>
    <row r="47" spans="1:6" x14ac:dyDescent="0.3">
      <c r="A47" t="s">
        <v>83</v>
      </c>
      <c r="C47" s="11">
        <f>-D47/B38</f>
        <v>1</v>
      </c>
      <c r="D47" s="7">
        <f>-D46</f>
        <v>-2100</v>
      </c>
    </row>
    <row r="48" spans="1:6" x14ac:dyDescent="0.3">
      <c r="A48" t="s">
        <v>84</v>
      </c>
      <c r="C48" s="11">
        <f>-C47</f>
        <v>-1</v>
      </c>
      <c r="E48" s="6">
        <f>-C48*EXP(B41*B42)</f>
        <v>1</v>
      </c>
    </row>
    <row r="49" spans="1:7" x14ac:dyDescent="0.3">
      <c r="A49" t="s">
        <v>85</v>
      </c>
      <c r="E49" s="6">
        <f>-E48</f>
        <v>-1</v>
      </c>
      <c r="F49" s="6">
        <f>-E49*B39</f>
        <v>2155</v>
      </c>
    </row>
    <row r="50" spans="1:7" x14ac:dyDescent="0.3">
      <c r="A50" t="s">
        <v>40</v>
      </c>
      <c r="C50">
        <f>SUM(C46:C49)</f>
        <v>0</v>
      </c>
      <c r="D50">
        <f t="shared" ref="D50:F50" si="0">SUM(D46:D49)</f>
        <v>0</v>
      </c>
      <c r="E50">
        <f t="shared" si="0"/>
        <v>0</v>
      </c>
      <c r="F50" s="12">
        <f t="shared" si="0"/>
        <v>1.8382468986992535</v>
      </c>
      <c r="G50" t="s">
        <v>86</v>
      </c>
    </row>
  </sheetData>
  <mergeCells count="2">
    <mergeCell ref="C44:D44"/>
    <mergeCell ref="E44:F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FCFC-92A1-43B7-B0BD-FFB5B2DBC787}">
  <dimension ref="A1:H29"/>
  <sheetViews>
    <sheetView workbookViewId="0"/>
  </sheetViews>
  <sheetFormatPr defaultRowHeight="14.4" x14ac:dyDescent="0.3"/>
  <cols>
    <col min="1" max="1" width="10.21875" customWidth="1"/>
    <col min="2" max="3" width="11.6640625" bestFit="1" customWidth="1"/>
    <col min="4" max="4" width="13.77734375" bestFit="1" customWidth="1"/>
    <col min="5" max="5" width="13.44140625" bestFit="1" customWidth="1"/>
    <col min="6" max="6" width="13.77734375" bestFit="1" customWidth="1"/>
    <col min="7" max="7" width="12.44140625" bestFit="1" customWidth="1"/>
    <col min="8" max="8" width="13.77734375" bestFit="1" customWidth="1"/>
  </cols>
  <sheetData>
    <row r="1" spans="1:1" x14ac:dyDescent="0.3">
      <c r="A1" s="1" t="s">
        <v>87</v>
      </c>
    </row>
    <row r="2" spans="1:1" x14ac:dyDescent="0.3">
      <c r="A2" t="s">
        <v>88</v>
      </c>
    </row>
    <row r="3" spans="1:1" x14ac:dyDescent="0.3">
      <c r="A3" t="s">
        <v>89</v>
      </c>
    </row>
    <row r="4" spans="1:1" x14ac:dyDescent="0.3">
      <c r="A4" t="s">
        <v>90</v>
      </c>
    </row>
    <row r="5" spans="1:1" x14ac:dyDescent="0.3">
      <c r="A5" t="s">
        <v>91</v>
      </c>
    </row>
    <row r="6" spans="1:1" x14ac:dyDescent="0.3">
      <c r="A6" t="s">
        <v>92</v>
      </c>
    </row>
    <row r="7" spans="1:1" x14ac:dyDescent="0.3">
      <c r="A7" t="s">
        <v>93</v>
      </c>
    </row>
    <row r="8" spans="1:1" x14ac:dyDescent="0.3">
      <c r="A8" t="s">
        <v>94</v>
      </c>
    </row>
    <row r="9" spans="1:1" x14ac:dyDescent="0.3">
      <c r="A9" t="s">
        <v>95</v>
      </c>
    </row>
    <row r="10" spans="1:1" x14ac:dyDescent="0.3">
      <c r="A10" t="s">
        <v>96</v>
      </c>
    </row>
    <row r="11" spans="1:1" x14ac:dyDescent="0.3">
      <c r="A11" t="s">
        <v>97</v>
      </c>
    </row>
    <row r="12" spans="1:1" x14ac:dyDescent="0.3">
      <c r="A12" t="s">
        <v>98</v>
      </c>
    </row>
    <row r="13" spans="1:1" x14ac:dyDescent="0.3">
      <c r="A13" t="s">
        <v>99</v>
      </c>
    </row>
    <row r="14" spans="1:1" x14ac:dyDescent="0.3">
      <c r="A14" t="s">
        <v>100</v>
      </c>
    </row>
    <row r="15" spans="1:1" x14ac:dyDescent="0.3">
      <c r="A15" t="s">
        <v>101</v>
      </c>
    </row>
    <row r="17" spans="1:8" x14ac:dyDescent="0.3">
      <c r="A17" t="s">
        <v>32</v>
      </c>
      <c r="B17" s="8">
        <v>10000000</v>
      </c>
    </row>
    <row r="18" spans="1:8" x14ac:dyDescent="0.3">
      <c r="A18" t="s">
        <v>102</v>
      </c>
      <c r="B18" s="3">
        <v>35</v>
      </c>
    </row>
    <row r="19" spans="1:8" x14ac:dyDescent="0.3">
      <c r="A19" t="s">
        <v>103</v>
      </c>
      <c r="B19" s="3">
        <v>30</v>
      </c>
    </row>
    <row r="20" spans="1:8" x14ac:dyDescent="0.3">
      <c r="A20" t="s">
        <v>104</v>
      </c>
      <c r="B20" s="3">
        <v>35</v>
      </c>
    </row>
    <row r="21" spans="1:8" x14ac:dyDescent="0.3">
      <c r="A21" t="s">
        <v>105</v>
      </c>
      <c r="B21" s="3">
        <v>40</v>
      </c>
    </row>
    <row r="22" spans="1:8" x14ac:dyDescent="0.3">
      <c r="C22" t="s">
        <v>103</v>
      </c>
      <c r="E22" t="s">
        <v>104</v>
      </c>
      <c r="G22" t="s">
        <v>105</v>
      </c>
    </row>
    <row r="23" spans="1:8" x14ac:dyDescent="0.3">
      <c r="C23" s="13">
        <f>B19</f>
        <v>30</v>
      </c>
      <c r="E23">
        <f>B20</f>
        <v>35</v>
      </c>
      <c r="G23">
        <f>B21</f>
        <v>40</v>
      </c>
    </row>
    <row r="24" spans="1:8" x14ac:dyDescent="0.3">
      <c r="C24" t="s">
        <v>36</v>
      </c>
      <c r="D24" t="s">
        <v>107</v>
      </c>
      <c r="E24" t="s">
        <v>36</v>
      </c>
      <c r="F24" t="s">
        <v>107</v>
      </c>
      <c r="G24" t="s">
        <v>36</v>
      </c>
      <c r="H24" t="s">
        <v>107</v>
      </c>
    </row>
    <row r="25" spans="1:8" x14ac:dyDescent="0.3">
      <c r="A25" t="s">
        <v>106</v>
      </c>
      <c r="C25" s="7">
        <f>-$B$17*(C23-$B$18)/C23</f>
        <v>1666666.6666666667</v>
      </c>
      <c r="E25" s="7">
        <f>-$B$17*(E23-$B$18)/E23</f>
        <v>0</v>
      </c>
      <c r="G25" s="7">
        <f>-$B$17*(G23-$B$18)/G23</f>
        <v>-1250000</v>
      </c>
    </row>
    <row r="26" spans="1:8" x14ac:dyDescent="0.3">
      <c r="A26" t="s">
        <v>108</v>
      </c>
      <c r="C26" s="7">
        <f>-$B$17-C25</f>
        <v>-11666666.666666666</v>
      </c>
      <c r="D26" s="7">
        <f>-C26*C23</f>
        <v>350000000</v>
      </c>
      <c r="E26" s="7">
        <f>-$B$17-E25</f>
        <v>-10000000</v>
      </c>
      <c r="F26" s="7">
        <f>-E26*E23</f>
        <v>350000000</v>
      </c>
      <c r="G26" s="7">
        <f>-$B$17-G25</f>
        <v>-8750000</v>
      </c>
      <c r="H26" s="7">
        <f>-G26*G23</f>
        <v>350000000</v>
      </c>
    </row>
    <row r="27" spans="1:8" x14ac:dyDescent="0.3">
      <c r="A27" t="s">
        <v>40</v>
      </c>
      <c r="C27" s="7">
        <f>SUM(C25:C26)</f>
        <v>-10000000</v>
      </c>
      <c r="D27" s="7">
        <f t="shared" ref="D27:H27" si="0">SUM(D25:D26)</f>
        <v>350000000</v>
      </c>
      <c r="E27" s="7">
        <f t="shared" si="0"/>
        <v>-10000000</v>
      </c>
      <c r="F27" s="7">
        <f t="shared" si="0"/>
        <v>350000000</v>
      </c>
      <c r="G27" s="7">
        <f t="shared" si="0"/>
        <v>-10000000</v>
      </c>
      <c r="H27" s="7">
        <f t="shared" si="0"/>
        <v>350000000</v>
      </c>
    </row>
    <row r="29" spans="1:8" x14ac:dyDescent="0.3">
      <c r="A29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960E-C935-4A1B-B165-8FB517FC0180}">
  <dimension ref="A1:H38"/>
  <sheetViews>
    <sheetView workbookViewId="0">
      <selection activeCell="A38" sqref="A38"/>
    </sheetView>
  </sheetViews>
  <sheetFormatPr defaultRowHeight="14.4" x14ac:dyDescent="0.3"/>
  <sheetData>
    <row r="1" spans="1:1" x14ac:dyDescent="0.3">
      <c r="A1" s="1" t="s">
        <v>110</v>
      </c>
    </row>
    <row r="2" spans="1:1" x14ac:dyDescent="0.3">
      <c r="A2" t="s">
        <v>111</v>
      </c>
    </row>
    <row r="3" spans="1:1" x14ac:dyDescent="0.3">
      <c r="A3" t="s">
        <v>112</v>
      </c>
    </row>
    <row r="4" spans="1:1" x14ac:dyDescent="0.3">
      <c r="A4" t="s">
        <v>113</v>
      </c>
    </row>
    <row r="5" spans="1:1" x14ac:dyDescent="0.3">
      <c r="A5" t="s">
        <v>114</v>
      </c>
    </row>
    <row r="6" spans="1:1" x14ac:dyDescent="0.3">
      <c r="A6" t="s">
        <v>115</v>
      </c>
    </row>
    <row r="7" spans="1:1" x14ac:dyDescent="0.3">
      <c r="A7" t="s">
        <v>116</v>
      </c>
    </row>
    <row r="8" spans="1:1" x14ac:dyDescent="0.3">
      <c r="A8" t="s">
        <v>117</v>
      </c>
    </row>
    <row r="9" spans="1:1" x14ac:dyDescent="0.3">
      <c r="A9" t="s">
        <v>118</v>
      </c>
    </row>
    <row r="10" spans="1:1" x14ac:dyDescent="0.3">
      <c r="A10" t="s">
        <v>119</v>
      </c>
    </row>
    <row r="11" spans="1:1" x14ac:dyDescent="0.3">
      <c r="A11" t="s">
        <v>120</v>
      </c>
    </row>
    <row r="12" spans="1:1" x14ac:dyDescent="0.3">
      <c r="A12" t="s">
        <v>121</v>
      </c>
    </row>
    <row r="13" spans="1:1" x14ac:dyDescent="0.3">
      <c r="A13" t="s">
        <v>122</v>
      </c>
    </row>
    <row r="14" spans="1:1" x14ac:dyDescent="0.3">
      <c r="A14" t="s">
        <v>123</v>
      </c>
    </row>
    <row r="15" spans="1:1" x14ac:dyDescent="0.3">
      <c r="A15" t="s">
        <v>124</v>
      </c>
    </row>
    <row r="16" spans="1:1" x14ac:dyDescent="0.3">
      <c r="A16" t="s">
        <v>125</v>
      </c>
    </row>
    <row r="17" spans="1:8" x14ac:dyDescent="0.3">
      <c r="A17" t="s">
        <v>126</v>
      </c>
    </row>
    <row r="18" spans="1:8" x14ac:dyDescent="0.3">
      <c r="A18" t="s">
        <v>127</v>
      </c>
    </row>
    <row r="19" spans="1:8" x14ac:dyDescent="0.3">
      <c r="A19" t="s">
        <v>128</v>
      </c>
    </row>
    <row r="21" spans="1:8" x14ac:dyDescent="0.3">
      <c r="A21" t="s">
        <v>28</v>
      </c>
      <c r="B21" s="3">
        <v>100</v>
      </c>
    </row>
    <row r="22" spans="1:8" x14ac:dyDescent="0.3">
      <c r="A22" t="s">
        <v>29</v>
      </c>
      <c r="B22" s="3">
        <v>101</v>
      </c>
    </row>
    <row r="23" spans="1:8" x14ac:dyDescent="0.3">
      <c r="A23" t="s">
        <v>129</v>
      </c>
      <c r="B23" s="14">
        <v>5</v>
      </c>
    </row>
    <row r="24" spans="1:8" x14ac:dyDescent="0.3">
      <c r="A24" t="s">
        <v>30</v>
      </c>
      <c r="B24" s="2">
        <v>0.1</v>
      </c>
    </row>
    <row r="25" spans="1:8" x14ac:dyDescent="0.3">
      <c r="A25" t="s">
        <v>31</v>
      </c>
      <c r="B25" s="3">
        <v>0.5</v>
      </c>
    </row>
    <row r="27" spans="1:8" x14ac:dyDescent="0.3">
      <c r="A27" t="s">
        <v>130</v>
      </c>
    </row>
    <row r="28" spans="1:8" x14ac:dyDescent="0.3">
      <c r="E28" s="9" t="s">
        <v>80</v>
      </c>
      <c r="F28" s="9"/>
      <c r="G28" s="9"/>
      <c r="H28" s="9"/>
    </row>
    <row r="29" spans="1:8" x14ac:dyDescent="0.3">
      <c r="C29" s="9" t="s">
        <v>33</v>
      </c>
      <c r="D29" s="9"/>
      <c r="E29" s="9" t="s">
        <v>131</v>
      </c>
      <c r="F29" s="9"/>
      <c r="G29" s="9" t="s">
        <v>132</v>
      </c>
      <c r="H29" s="9"/>
    </row>
    <row r="30" spans="1:8" x14ac:dyDescent="0.3">
      <c r="C30" t="s">
        <v>133</v>
      </c>
      <c r="D30" t="s">
        <v>37</v>
      </c>
      <c r="E30" t="s">
        <v>133</v>
      </c>
      <c r="F30" t="s">
        <v>37</v>
      </c>
      <c r="G30" t="s">
        <v>133</v>
      </c>
      <c r="H30" t="s">
        <v>37</v>
      </c>
    </row>
    <row r="31" spans="1:8" x14ac:dyDescent="0.3">
      <c r="A31" t="s">
        <v>134</v>
      </c>
      <c r="C31">
        <v>1</v>
      </c>
      <c r="E31">
        <f>-C31</f>
        <v>-1</v>
      </c>
      <c r="G31">
        <f>-C31</f>
        <v>-1</v>
      </c>
    </row>
    <row r="32" spans="1:8" x14ac:dyDescent="0.3">
      <c r="A32" t="s">
        <v>135</v>
      </c>
      <c r="C32">
        <f>-C31</f>
        <v>-1</v>
      </c>
      <c r="D32">
        <f>-C32*B21</f>
        <v>100</v>
      </c>
    </row>
    <row r="33" spans="1:8" x14ac:dyDescent="0.3">
      <c r="A33" t="s">
        <v>136</v>
      </c>
      <c r="D33">
        <f>-D32</f>
        <v>-100</v>
      </c>
      <c r="F33">
        <f>-D33*(1+B24*B25)</f>
        <v>105</v>
      </c>
      <c r="H33">
        <f>-D33*(1+B24*B25)</f>
        <v>105</v>
      </c>
    </row>
    <row r="34" spans="1:8" x14ac:dyDescent="0.3">
      <c r="A34" t="s">
        <v>137</v>
      </c>
      <c r="E34">
        <f>-C32</f>
        <v>1</v>
      </c>
      <c r="F34">
        <f>-E34*B22</f>
        <v>-101</v>
      </c>
      <c r="G34">
        <f>-C32</f>
        <v>1</v>
      </c>
      <c r="H34">
        <f>-G34*B22</f>
        <v>-101</v>
      </c>
    </row>
    <row r="35" spans="1:8" x14ac:dyDescent="0.3">
      <c r="A35" t="s">
        <v>138</v>
      </c>
      <c r="F35">
        <v>0</v>
      </c>
      <c r="H35" s="6">
        <f>-B23</f>
        <v>-5</v>
      </c>
    </row>
    <row r="36" spans="1:8" x14ac:dyDescent="0.3">
      <c r="A36" t="s">
        <v>40</v>
      </c>
      <c r="C36">
        <f>SUM(C31:C35)</f>
        <v>0</v>
      </c>
      <c r="D36">
        <f t="shared" ref="D36:H36" si="0">SUM(D31:D35)</f>
        <v>0</v>
      </c>
      <c r="E36">
        <f t="shared" si="0"/>
        <v>0</v>
      </c>
      <c r="F36" s="15">
        <f t="shared" si="0"/>
        <v>4</v>
      </c>
      <c r="G36">
        <f t="shared" si="0"/>
        <v>0</v>
      </c>
      <c r="H36" s="15">
        <f t="shared" si="0"/>
        <v>-1</v>
      </c>
    </row>
    <row r="38" spans="1:8" x14ac:dyDescent="0.3">
      <c r="A38" t="s">
        <v>139</v>
      </c>
      <c r="B38" s="16">
        <f>-F36 / (H36-F36)</f>
        <v>0.8</v>
      </c>
      <c r="C38" t="s">
        <v>140</v>
      </c>
    </row>
  </sheetData>
  <mergeCells count="4">
    <mergeCell ref="C29:D29"/>
    <mergeCell ref="E29:F29"/>
    <mergeCell ref="G29:H29"/>
    <mergeCell ref="E28:H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1684-7B05-40F1-B559-5E215DBE8104}">
  <dimension ref="A1:D54"/>
  <sheetViews>
    <sheetView tabSelected="1" workbookViewId="0">
      <selection activeCell="C31" sqref="C31"/>
    </sheetView>
  </sheetViews>
  <sheetFormatPr defaultRowHeight="14.4" x14ac:dyDescent="0.3"/>
  <sheetData>
    <row r="1" spans="1:1" x14ac:dyDescent="0.3">
      <c r="A1" s="1" t="s">
        <v>141</v>
      </c>
    </row>
    <row r="2" spans="1:1" x14ac:dyDescent="0.3">
      <c r="A2" t="s">
        <v>142</v>
      </c>
    </row>
    <row r="3" spans="1:1" x14ac:dyDescent="0.3">
      <c r="A3" t="s">
        <v>143</v>
      </c>
    </row>
    <row r="4" spans="1:1" x14ac:dyDescent="0.3">
      <c r="A4" t="s">
        <v>144</v>
      </c>
    </row>
    <row r="5" spans="1:1" x14ac:dyDescent="0.3">
      <c r="A5" t="s">
        <v>145</v>
      </c>
    </row>
    <row r="6" spans="1:1" x14ac:dyDescent="0.3">
      <c r="A6" t="s">
        <v>146</v>
      </c>
    </row>
    <row r="7" spans="1:1" x14ac:dyDescent="0.3">
      <c r="A7" t="s">
        <v>147</v>
      </c>
    </row>
    <row r="8" spans="1:1" x14ac:dyDescent="0.3">
      <c r="A8" t="s">
        <v>148</v>
      </c>
    </row>
    <row r="9" spans="1:1" x14ac:dyDescent="0.3">
      <c r="A9" t="s">
        <v>149</v>
      </c>
    </row>
    <row r="10" spans="1:1" x14ac:dyDescent="0.3">
      <c r="A10" t="s">
        <v>150</v>
      </c>
    </row>
    <row r="11" spans="1:1" x14ac:dyDescent="0.3">
      <c r="A11" t="s">
        <v>151</v>
      </c>
    </row>
    <row r="12" spans="1:1" x14ac:dyDescent="0.3">
      <c r="A12" t="s">
        <v>152</v>
      </c>
    </row>
    <row r="13" spans="1:1" x14ac:dyDescent="0.3">
      <c r="A13" t="s">
        <v>153</v>
      </c>
    </row>
    <row r="14" spans="1:1" x14ac:dyDescent="0.3">
      <c r="A14" t="s">
        <v>154</v>
      </c>
    </row>
    <row r="15" spans="1:1" x14ac:dyDescent="0.3">
      <c r="A15" t="s">
        <v>155</v>
      </c>
    </row>
    <row r="16" spans="1:1" x14ac:dyDescent="0.3">
      <c r="A16" t="s">
        <v>156</v>
      </c>
    </row>
    <row r="17" spans="1:4" x14ac:dyDescent="0.3">
      <c r="A17" t="s">
        <v>157</v>
      </c>
    </row>
    <row r="18" spans="1:4" x14ac:dyDescent="0.3">
      <c r="A18" t="s">
        <v>158</v>
      </c>
    </row>
    <row r="19" spans="1:4" x14ac:dyDescent="0.3">
      <c r="A19" t="s">
        <v>159</v>
      </c>
    </row>
    <row r="20" spans="1:4" x14ac:dyDescent="0.3">
      <c r="A20" t="s">
        <v>160</v>
      </c>
    </row>
    <row r="21" spans="1:4" x14ac:dyDescent="0.3">
      <c r="A21" t="s">
        <v>161</v>
      </c>
    </row>
    <row r="22" spans="1:4" x14ac:dyDescent="0.3">
      <c r="A22" t="s">
        <v>162</v>
      </c>
    </row>
    <row r="23" spans="1:4" x14ac:dyDescent="0.3">
      <c r="A23" t="s">
        <v>163</v>
      </c>
    </row>
    <row r="24" spans="1:4" x14ac:dyDescent="0.3">
      <c r="A24" t="s">
        <v>164</v>
      </c>
    </row>
    <row r="25" spans="1:4" x14ac:dyDescent="0.3">
      <c r="A25" t="s">
        <v>165</v>
      </c>
    </row>
    <row r="27" spans="1:4" x14ac:dyDescent="0.3">
      <c r="B27" t="s">
        <v>166</v>
      </c>
      <c r="C27" t="s">
        <v>167</v>
      </c>
    </row>
    <row r="28" spans="1:4" x14ac:dyDescent="0.3">
      <c r="A28" t="s">
        <v>168</v>
      </c>
      <c r="B28" s="18">
        <v>3.5000000000000003E-2</v>
      </c>
      <c r="C28" s="18">
        <v>3.7999999999999999E-2</v>
      </c>
    </row>
    <row r="29" spans="1:4" x14ac:dyDescent="0.3">
      <c r="A29" t="s">
        <v>169</v>
      </c>
      <c r="B29" s="18">
        <v>3.4000000000000002E-2</v>
      </c>
      <c r="C29" s="18">
        <v>3.5999999999999997E-2</v>
      </c>
    </row>
    <row r="30" spans="1:4" x14ac:dyDescent="0.3">
      <c r="A30" t="s">
        <v>170</v>
      </c>
      <c r="B30" s="18">
        <v>3.2000000000000001E-2</v>
      </c>
      <c r="C30" s="18">
        <v>3.4000000000000002E-2</v>
      </c>
    </row>
    <row r="32" spans="1:4" x14ac:dyDescent="0.3">
      <c r="A32" t="s">
        <v>171</v>
      </c>
      <c r="B32" s="17">
        <f>(B29*4 - B28*4)/6</f>
        <v>-6.6666666666666729E-4</v>
      </c>
      <c r="C32" s="17">
        <f>C29*2-C28*2</f>
        <v>-4.0000000000000036E-3</v>
      </c>
      <c r="D32" t="s">
        <v>186</v>
      </c>
    </row>
    <row r="33" spans="1:3" x14ac:dyDescent="0.3">
      <c r="A33" t="s">
        <v>172</v>
      </c>
      <c r="B33" s="17">
        <f>(B30*8-B39*4-4*B29)/10</f>
        <v>-1.1999999999999984E-3</v>
      </c>
      <c r="C33" s="17">
        <f>(C30*4-C29*2-C38*2)/3</f>
        <v>-1.3333333333333253E-3</v>
      </c>
    </row>
    <row r="34" spans="1:3" x14ac:dyDescent="0.3">
      <c r="B34" s="19"/>
    </row>
    <row r="35" spans="1:3" x14ac:dyDescent="0.3">
      <c r="A35" t="s">
        <v>173</v>
      </c>
      <c r="B35" t="s">
        <v>174</v>
      </c>
      <c r="C35" t="s">
        <v>175</v>
      </c>
    </row>
    <row r="36" spans="1:3" x14ac:dyDescent="0.3">
      <c r="A36">
        <v>0</v>
      </c>
      <c r="B36" s="17">
        <f>B28</f>
        <v>3.5000000000000003E-2</v>
      </c>
      <c r="C36" s="17">
        <f>C28</f>
        <v>3.7999999999999999E-2</v>
      </c>
    </row>
    <row r="37" spans="1:3" x14ac:dyDescent="0.3">
      <c r="A37">
        <v>3</v>
      </c>
      <c r="B37" s="17">
        <f>B36+B32</f>
        <v>3.4333333333333334E-2</v>
      </c>
      <c r="C37" s="17"/>
    </row>
    <row r="38" spans="1:3" x14ac:dyDescent="0.3">
      <c r="A38">
        <v>6</v>
      </c>
      <c r="B38" s="17">
        <f>B37+B32</f>
        <v>3.3666666666666664E-2</v>
      </c>
      <c r="C38" s="17">
        <f>C36+C32</f>
        <v>3.3999999999999996E-2</v>
      </c>
    </row>
    <row r="39" spans="1:3" x14ac:dyDescent="0.3">
      <c r="A39">
        <v>9</v>
      </c>
      <c r="B39" s="17">
        <f>B38+B32</f>
        <v>3.2999999999999995E-2</v>
      </c>
      <c r="C39" s="17"/>
    </row>
    <row r="40" spans="1:3" x14ac:dyDescent="0.3">
      <c r="A40">
        <v>12</v>
      </c>
      <c r="B40" s="17">
        <f>B39+B33</f>
        <v>3.1799999999999995E-2</v>
      </c>
      <c r="C40" s="17">
        <f>C38+C33</f>
        <v>3.266666666666667E-2</v>
      </c>
    </row>
    <row r="41" spans="1:3" x14ac:dyDescent="0.3">
      <c r="A41">
        <v>15</v>
      </c>
      <c r="B41" s="17">
        <f>B40+B33</f>
        <v>3.0599999999999995E-2</v>
      </c>
      <c r="C41" s="17"/>
    </row>
    <row r="42" spans="1:3" x14ac:dyDescent="0.3">
      <c r="A42">
        <v>18</v>
      </c>
      <c r="B42" s="17">
        <f>B33+B41</f>
        <v>2.9399999999999996E-2</v>
      </c>
      <c r="C42" s="17">
        <f>C40+C33</f>
        <v>3.1333333333333345E-2</v>
      </c>
    </row>
    <row r="43" spans="1:3" x14ac:dyDescent="0.3">
      <c r="A43">
        <v>21</v>
      </c>
      <c r="B43" s="17">
        <f>B42+B33</f>
        <v>2.8199999999999996E-2</v>
      </c>
      <c r="C43" s="17"/>
    </row>
    <row r="45" spans="1:3" x14ac:dyDescent="0.3">
      <c r="A45" t="s">
        <v>176</v>
      </c>
    </row>
    <row r="46" spans="1:3" x14ac:dyDescent="0.3">
      <c r="A46" t="s">
        <v>177</v>
      </c>
      <c r="B46" s="4">
        <f>AVERAGE(B36:B39)</f>
        <v>3.3999999999999996E-2</v>
      </c>
      <c r="C46" s="4">
        <f>AVERAGE(C36, C38)</f>
        <v>3.5999999999999997E-2</v>
      </c>
    </row>
    <row r="47" spans="1:3" x14ac:dyDescent="0.3">
      <c r="A47" t="s">
        <v>178</v>
      </c>
      <c r="B47" s="4">
        <f>AVERAGE(B36:B43)</f>
        <v>3.1999999999999994E-2</v>
      </c>
      <c r="C47" s="4">
        <f>AVERAGE(C36,C38,C40,C42)</f>
        <v>3.4000000000000002E-2</v>
      </c>
    </row>
    <row r="49" spans="1:2" x14ac:dyDescent="0.3">
      <c r="A49" t="s">
        <v>179</v>
      </c>
    </row>
    <row r="50" spans="1:2" x14ac:dyDescent="0.3">
      <c r="A50" t="s">
        <v>180</v>
      </c>
      <c r="B50" t="s">
        <v>181</v>
      </c>
    </row>
    <row r="51" spans="1:2" x14ac:dyDescent="0.3">
      <c r="A51" t="s">
        <v>182</v>
      </c>
      <c r="B51" t="s">
        <v>183</v>
      </c>
    </row>
    <row r="53" spans="1:2" x14ac:dyDescent="0.3">
      <c r="A53" t="s">
        <v>184</v>
      </c>
      <c r="B53" s="5">
        <f>(SUM(C36:C43) * 1/2 - SUM(B36:B43) * 1 / 4) / 8 / (1/4)</f>
        <v>2.0000000000000087E-3</v>
      </c>
    </row>
    <row r="54" spans="1:2" x14ac:dyDescent="0.3">
      <c r="A54" t="s">
        <v>185</v>
      </c>
      <c r="B54" s="5">
        <f>C30-B30</f>
        <v>2.0000000000000018E-3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</vt:lpstr>
      <vt:lpstr>Problem2</vt:lpstr>
      <vt:lpstr>Problem3</vt:lpstr>
      <vt:lpstr>Problem4</vt:lpstr>
      <vt:lpstr>Problem5</vt:lpstr>
      <vt:lpstr>Problem6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Bakulin</dc:creator>
  <cp:lastModifiedBy>Artem Bakulin</cp:lastModifiedBy>
  <dcterms:created xsi:type="dcterms:W3CDTF">2024-03-10T18:40:59Z</dcterms:created>
  <dcterms:modified xsi:type="dcterms:W3CDTF">2024-03-10T19:18:02Z</dcterms:modified>
</cp:coreProperties>
</file>