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ak\homework\2024\"/>
    </mc:Choice>
  </mc:AlternateContent>
  <xr:revisionPtr revIDLastSave="0" documentId="13_ncr:1_{429E65F3-2854-4199-BF70-92953AB808CD}" xr6:coauthVersionLast="47" xr6:coauthVersionMax="47" xr10:uidLastSave="{00000000-0000-0000-0000-000000000000}"/>
  <bookViews>
    <workbookView xWindow="5820" yWindow="576" windowWidth="23040" windowHeight="12120" xr2:uid="{49D17E45-4FFA-4591-9733-830F7C51F5DE}"/>
  </bookViews>
  <sheets>
    <sheet name="Problem1" sheetId="1" r:id="rId1"/>
    <sheet name="Problem2" sheetId="2" r:id="rId2"/>
    <sheet name="Problem3" sheetId="4" r:id="rId3"/>
    <sheet name="Problem4" sheetId="6" r:id="rId4"/>
    <sheet name="Problem5" sheetId="7" r:id="rId5"/>
    <sheet name="Problem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9" l="1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52" i="9"/>
  <c r="A71" i="9"/>
  <c r="D68" i="9"/>
  <c r="C68" i="9"/>
  <c r="B68" i="9"/>
  <c r="A68" i="9"/>
  <c r="D64" i="9"/>
  <c r="C64" i="9"/>
  <c r="B64" i="9"/>
  <c r="A64" i="9"/>
  <c r="C60" i="9"/>
  <c r="C59" i="9"/>
  <c r="C45" i="9"/>
  <c r="C44" i="9"/>
  <c r="C43" i="9"/>
  <c r="C42" i="9"/>
  <c r="C41" i="9"/>
  <c r="C47" i="9"/>
  <c r="C51" i="9" s="1"/>
  <c r="C46" i="9"/>
  <c r="C48" i="9" s="1"/>
  <c r="C40" i="9"/>
  <c r="B45" i="9"/>
  <c r="B44" i="9"/>
  <c r="B43" i="9"/>
  <c r="B42" i="9"/>
  <c r="B41" i="9"/>
  <c r="B40" i="9"/>
  <c r="B47" i="9"/>
  <c r="A68" i="7"/>
  <c r="C54" i="7"/>
  <c r="C62" i="7" s="1"/>
  <c r="C64" i="7" s="1"/>
  <c r="C63" i="7"/>
  <c r="C58" i="7"/>
  <c r="C59" i="7"/>
  <c r="C53" i="7"/>
  <c r="C52" i="7"/>
  <c r="C51" i="7"/>
  <c r="C50" i="7"/>
  <c r="C49" i="7"/>
  <c r="B49" i="7"/>
  <c r="B53" i="7"/>
  <c r="B52" i="7"/>
  <c r="B51" i="7"/>
  <c r="B50" i="7"/>
  <c r="A51" i="7"/>
  <c r="A52" i="7"/>
  <c r="A53" i="7"/>
  <c r="A50" i="7"/>
  <c r="H35" i="7"/>
  <c r="F35" i="7"/>
  <c r="E35" i="7"/>
  <c r="D35" i="7"/>
  <c r="C35" i="7"/>
  <c r="C41" i="7" s="1"/>
  <c r="C45" i="7" s="1"/>
  <c r="I36" i="7"/>
  <c r="I39" i="7"/>
  <c r="I38" i="7"/>
  <c r="I37" i="7"/>
  <c r="I34" i="7"/>
  <c r="H36" i="7"/>
  <c r="G36" i="7"/>
  <c r="F36" i="7"/>
  <c r="D36" i="7"/>
  <c r="D39" i="7"/>
  <c r="E39" i="7"/>
  <c r="F39" i="7"/>
  <c r="G39" i="7"/>
  <c r="H39" i="7"/>
  <c r="C39" i="7"/>
  <c r="D41" i="7"/>
  <c r="D45" i="7" s="1"/>
  <c r="D40" i="7"/>
  <c r="D42" i="7" s="1"/>
  <c r="D38" i="7"/>
  <c r="E36" i="7"/>
  <c r="C36" i="7"/>
  <c r="B36" i="7"/>
  <c r="E38" i="7"/>
  <c r="F38" i="7" s="1"/>
  <c r="G38" i="7" s="1"/>
  <c r="H38" i="7" s="1"/>
  <c r="C38" i="7"/>
  <c r="D37" i="7"/>
  <c r="E37" i="7" s="1"/>
  <c r="F37" i="7" s="1"/>
  <c r="G37" i="7" s="1"/>
  <c r="H37" i="7" s="1"/>
  <c r="C37" i="7"/>
  <c r="B39" i="7"/>
  <c r="B38" i="7"/>
  <c r="B37" i="7"/>
  <c r="G34" i="7"/>
  <c r="H34" i="7" s="1"/>
  <c r="D34" i="7"/>
  <c r="E34" i="7"/>
  <c r="F34" i="7" s="1"/>
  <c r="C34" i="7"/>
  <c r="B35" i="7"/>
  <c r="B34" i="7"/>
  <c r="B17" i="6"/>
  <c r="B20" i="6" s="1"/>
  <c r="B27" i="6"/>
  <c r="E29" i="6" s="1"/>
  <c r="A50" i="4"/>
  <c r="A48" i="4"/>
  <c r="N48" i="4"/>
  <c r="N50" i="4"/>
  <c r="N35" i="4"/>
  <c r="N37" i="4"/>
  <c r="K39" i="4"/>
  <c r="L33" i="4"/>
  <c r="L34" i="4"/>
  <c r="L36" i="4"/>
  <c r="L38" i="4"/>
  <c r="L39" i="4"/>
  <c r="L40" i="4"/>
  <c r="L41" i="4"/>
  <c r="L42" i="4"/>
  <c r="L43" i="4"/>
  <c r="L44" i="4"/>
  <c r="L45" i="4"/>
  <c r="L46" i="4"/>
  <c r="L47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32" i="4"/>
  <c r="N33" i="4"/>
  <c r="N34" i="4"/>
  <c r="N36" i="4"/>
  <c r="N38" i="4"/>
  <c r="N40" i="4"/>
  <c r="N41" i="4"/>
  <c r="N42" i="4"/>
  <c r="N43" i="4"/>
  <c r="N44" i="4"/>
  <c r="N45" i="4"/>
  <c r="N46" i="4"/>
  <c r="N47" i="4"/>
  <c r="N49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32" i="4"/>
  <c r="N31" i="4"/>
  <c r="L31" i="4"/>
  <c r="O31" i="4"/>
  <c r="D49" i="4"/>
  <c r="C49" i="4"/>
  <c r="A49" i="4"/>
  <c r="D47" i="4"/>
  <c r="C47" i="4"/>
  <c r="A47" i="4"/>
  <c r="A46" i="4"/>
  <c r="K31" i="4" s="1"/>
  <c r="A45" i="4"/>
  <c r="O36" i="4"/>
  <c r="O48" i="4"/>
  <c r="O50" i="4"/>
  <c r="O51" i="4"/>
  <c r="O52" i="4"/>
  <c r="O64" i="4"/>
  <c r="O82" i="4"/>
  <c r="O83" i="4"/>
  <c r="O84" i="4"/>
  <c r="O98" i="4"/>
  <c r="O100" i="4"/>
  <c r="O112" i="4"/>
  <c r="O114" i="4"/>
  <c r="O115" i="4"/>
  <c r="O132" i="4"/>
  <c r="O144" i="4"/>
  <c r="O147" i="4"/>
  <c r="O148" i="4"/>
  <c r="O160" i="4"/>
  <c r="O161" i="4"/>
  <c r="O162" i="4"/>
  <c r="O163" i="4"/>
  <c r="O164" i="4"/>
  <c r="M53" i="4"/>
  <c r="M54" i="4"/>
  <c r="M68" i="4"/>
  <c r="M70" i="4"/>
  <c r="M84" i="4"/>
  <c r="M85" i="4"/>
  <c r="M86" i="4"/>
  <c r="M100" i="4"/>
  <c r="M101" i="4"/>
  <c r="M102" i="4"/>
  <c r="M132" i="4"/>
  <c r="M134" i="4"/>
  <c r="M146" i="4"/>
  <c r="M148" i="4"/>
  <c r="M149" i="4"/>
  <c r="M150" i="4"/>
  <c r="M162" i="4"/>
  <c r="M163" i="4"/>
  <c r="M164" i="4"/>
  <c r="M165" i="4"/>
  <c r="M31" i="4"/>
  <c r="J36" i="4"/>
  <c r="J38" i="4"/>
  <c r="J39" i="4"/>
  <c r="J40" i="4"/>
  <c r="J54" i="4"/>
  <c r="J56" i="4"/>
  <c r="J58" i="4"/>
  <c r="J61" i="4"/>
  <c r="J62" i="4"/>
  <c r="J63" i="4"/>
  <c r="J64" i="4"/>
  <c r="J68" i="4"/>
  <c r="J70" i="4"/>
  <c r="J71" i="4"/>
  <c r="J84" i="4"/>
  <c r="J86" i="4"/>
  <c r="J88" i="4"/>
  <c r="J90" i="4"/>
  <c r="J93" i="4"/>
  <c r="J94" i="4"/>
  <c r="J95" i="4"/>
  <c r="J96" i="4"/>
  <c r="J100" i="4"/>
  <c r="J102" i="4"/>
  <c r="J112" i="4"/>
  <c r="J116" i="4"/>
  <c r="J118" i="4"/>
  <c r="J120" i="4"/>
  <c r="J122" i="4"/>
  <c r="J125" i="4"/>
  <c r="J126" i="4"/>
  <c r="J127" i="4"/>
  <c r="J128" i="4"/>
  <c r="J132" i="4"/>
  <c r="J142" i="4"/>
  <c r="J143" i="4"/>
  <c r="J144" i="4"/>
  <c r="J148" i="4"/>
  <c r="J150" i="4"/>
  <c r="J152" i="4"/>
  <c r="J154" i="4"/>
  <c r="J157" i="4"/>
  <c r="J158" i="4"/>
  <c r="J159" i="4"/>
  <c r="J170" i="4"/>
  <c r="J32" i="4"/>
  <c r="J31" i="4"/>
  <c r="O37" i="4"/>
  <c r="M39" i="4"/>
  <c r="M41" i="4"/>
  <c r="J43" i="4"/>
  <c r="J45" i="4"/>
  <c r="J47" i="4"/>
  <c r="M57" i="4"/>
  <c r="J59" i="4"/>
  <c r="M63" i="4"/>
  <c r="J65" i="4"/>
  <c r="J67" i="4"/>
  <c r="O69" i="4"/>
  <c r="M71" i="4"/>
  <c r="M73" i="4"/>
  <c r="J75" i="4"/>
  <c r="J77" i="4"/>
  <c r="J79" i="4"/>
  <c r="M89" i="4"/>
  <c r="J91" i="4"/>
  <c r="M95" i="4"/>
  <c r="J97" i="4"/>
  <c r="J99" i="4"/>
  <c r="O101" i="4"/>
  <c r="M103" i="4"/>
  <c r="M105" i="4"/>
  <c r="J107" i="4"/>
  <c r="J109" i="4"/>
  <c r="M121" i="4"/>
  <c r="J123" i="4"/>
  <c r="M127" i="4"/>
  <c r="J129" i="4"/>
  <c r="J131" i="4"/>
  <c r="O133" i="4"/>
  <c r="M135" i="4"/>
  <c r="M137" i="4"/>
  <c r="J139" i="4"/>
  <c r="J141" i="4"/>
  <c r="M153" i="4"/>
  <c r="J155" i="4"/>
  <c r="M159" i="4"/>
  <c r="J161" i="4"/>
  <c r="J163" i="4"/>
  <c r="O165" i="4"/>
  <c r="M167" i="4"/>
  <c r="M169" i="4"/>
  <c r="J171" i="4"/>
  <c r="J33" i="4"/>
  <c r="D50" i="4"/>
  <c r="O66" i="4" s="1"/>
  <c r="C50" i="4"/>
  <c r="O40" i="4" s="1"/>
  <c r="D48" i="4"/>
  <c r="M40" i="4" s="1"/>
  <c r="C48" i="4"/>
  <c r="D46" i="4"/>
  <c r="D45" i="4"/>
  <c r="J44" i="4" s="1"/>
  <c r="B36" i="4"/>
  <c r="B35" i="4"/>
  <c r="C35" i="4" s="1"/>
  <c r="D35" i="4" s="1"/>
  <c r="B34" i="4"/>
  <c r="B33" i="4"/>
  <c r="D32" i="4"/>
  <c r="C32" i="4"/>
  <c r="B32" i="4"/>
  <c r="B31" i="4"/>
  <c r="C31" i="4" s="1"/>
  <c r="K40" i="2"/>
  <c r="J40" i="2"/>
  <c r="K42" i="2"/>
  <c r="K43" i="2"/>
  <c r="K44" i="2"/>
  <c r="K45" i="2"/>
  <c r="K46" i="2"/>
  <c r="L46" i="2" s="1"/>
  <c r="K41" i="2"/>
  <c r="J46" i="2"/>
  <c r="J47" i="2"/>
  <c r="J48" i="2"/>
  <c r="J49" i="2"/>
  <c r="J50" i="2"/>
  <c r="I42" i="2"/>
  <c r="I43" i="2"/>
  <c r="I44" i="2"/>
  <c r="I45" i="2"/>
  <c r="I46" i="2"/>
  <c r="I47" i="2"/>
  <c r="I48" i="2"/>
  <c r="I49" i="2"/>
  <c r="I50" i="2"/>
  <c r="I51" i="2"/>
  <c r="I41" i="2"/>
  <c r="A56" i="2"/>
  <c r="A57" i="2"/>
  <c r="H48" i="2"/>
  <c r="H49" i="2" s="1"/>
  <c r="H50" i="2" s="1"/>
  <c r="H51" i="2" s="1"/>
  <c r="H43" i="2"/>
  <c r="H44" i="2" s="1"/>
  <c r="H45" i="2" s="1"/>
  <c r="H46" i="2" s="1"/>
  <c r="H47" i="2" s="1"/>
  <c r="H42" i="2"/>
  <c r="H41" i="2"/>
  <c r="B56" i="2"/>
  <c r="B57" i="2" s="1"/>
  <c r="C57" i="2" s="1"/>
  <c r="C58" i="2" s="1"/>
  <c r="C56" i="2"/>
  <c r="B53" i="2"/>
  <c r="D41" i="2"/>
  <c r="C41" i="2"/>
  <c r="D47" i="2" s="1"/>
  <c r="D51" i="2" s="1"/>
  <c r="C47" i="2"/>
  <c r="C51" i="2" s="1"/>
  <c r="C46" i="2"/>
  <c r="C48" i="2" s="1"/>
  <c r="C42" i="2"/>
  <c r="D42" i="2"/>
  <c r="C43" i="2"/>
  <c r="D43" i="2" s="1"/>
  <c r="C44" i="2"/>
  <c r="D44" i="2" s="1"/>
  <c r="C45" i="2"/>
  <c r="D45" i="2"/>
  <c r="D40" i="2"/>
  <c r="C40" i="2"/>
  <c r="B45" i="2"/>
  <c r="B44" i="2"/>
  <c r="B43" i="2"/>
  <c r="B42" i="2"/>
  <c r="B41" i="2"/>
  <c r="B40" i="2"/>
  <c r="B47" i="2"/>
  <c r="B51" i="2" s="1"/>
  <c r="B46" i="2"/>
  <c r="B48" i="2" s="1"/>
  <c r="E39" i="1"/>
  <c r="K39" i="1"/>
  <c r="H34" i="1"/>
  <c r="G34" i="1" s="1"/>
  <c r="F34" i="1" s="1"/>
  <c r="C31" i="1"/>
  <c r="B19" i="1"/>
  <c r="E22" i="1" s="1"/>
  <c r="E23" i="1" s="1"/>
  <c r="E12" i="1"/>
  <c r="D16" i="1" s="1"/>
  <c r="C49" i="9" l="1"/>
  <c r="C50" i="9"/>
  <c r="B51" i="9"/>
  <c r="B46" i="9"/>
  <c r="B48" i="9" s="1"/>
  <c r="B50" i="9"/>
  <c r="G35" i="7"/>
  <c r="I35" i="7"/>
  <c r="C40" i="7"/>
  <c r="C42" i="7" s="1"/>
  <c r="I41" i="7"/>
  <c r="I45" i="7" s="1"/>
  <c r="I40" i="7"/>
  <c r="E40" i="7"/>
  <c r="E41" i="7"/>
  <c r="E45" i="7" s="1"/>
  <c r="H41" i="7"/>
  <c r="H44" i="7" s="1"/>
  <c r="G41" i="7"/>
  <c r="G45" i="7" s="1"/>
  <c r="F41" i="7"/>
  <c r="F45" i="7" s="1"/>
  <c r="F40" i="7"/>
  <c r="H40" i="7"/>
  <c r="G40" i="7"/>
  <c r="E43" i="7"/>
  <c r="D43" i="7"/>
  <c r="D44" i="7"/>
  <c r="C44" i="7"/>
  <c r="B40" i="7"/>
  <c r="B41" i="7"/>
  <c r="B43" i="7" s="1"/>
  <c r="H31" i="6"/>
  <c r="H27" i="6"/>
  <c r="E25" i="6"/>
  <c r="N39" i="4"/>
  <c r="L37" i="4"/>
  <c r="L35" i="4"/>
  <c r="J35" i="4"/>
  <c r="L50" i="4"/>
  <c r="L48" i="4"/>
  <c r="K50" i="4"/>
  <c r="O99" i="4"/>
  <c r="O35" i="4"/>
  <c r="M69" i="4"/>
  <c r="O146" i="4"/>
  <c r="O96" i="4"/>
  <c r="O34" i="4"/>
  <c r="M133" i="4"/>
  <c r="P133" i="4" s="1"/>
  <c r="J138" i="4"/>
  <c r="J80" i="4"/>
  <c r="M151" i="4"/>
  <c r="M119" i="4"/>
  <c r="M87" i="4"/>
  <c r="M55" i="4"/>
  <c r="J167" i="4"/>
  <c r="J137" i="4"/>
  <c r="J110" i="4"/>
  <c r="J48" i="4"/>
  <c r="M131" i="4"/>
  <c r="M52" i="4"/>
  <c r="O130" i="4"/>
  <c r="O80" i="4"/>
  <c r="J169" i="4"/>
  <c r="P169" i="4" s="1"/>
  <c r="J52" i="4"/>
  <c r="P52" i="4" s="1"/>
  <c r="O131" i="4"/>
  <c r="P131" i="4" s="1"/>
  <c r="M130" i="4"/>
  <c r="O149" i="4"/>
  <c r="O117" i="4"/>
  <c r="O85" i="4"/>
  <c r="O53" i="4"/>
  <c r="J166" i="4"/>
  <c r="J136" i="4"/>
  <c r="J106" i="4"/>
  <c r="J78" i="4"/>
  <c r="P100" i="4"/>
  <c r="M118" i="4"/>
  <c r="M38" i="4"/>
  <c r="O129" i="4"/>
  <c r="O68" i="4"/>
  <c r="P132" i="4"/>
  <c r="P116" i="4"/>
  <c r="P84" i="4"/>
  <c r="O97" i="4"/>
  <c r="J168" i="4"/>
  <c r="J147" i="4"/>
  <c r="J115" i="4"/>
  <c r="J83" i="4"/>
  <c r="J51" i="4"/>
  <c r="J165" i="4"/>
  <c r="J135" i="4"/>
  <c r="J105" i="4"/>
  <c r="J74" i="4"/>
  <c r="J46" i="4"/>
  <c r="M117" i="4"/>
  <c r="M37" i="4"/>
  <c r="O128" i="4"/>
  <c r="P128" i="4" s="1"/>
  <c r="O67" i="4"/>
  <c r="J111" i="4"/>
  <c r="J145" i="4"/>
  <c r="J113" i="4"/>
  <c r="J81" i="4"/>
  <c r="J49" i="4"/>
  <c r="J164" i="4"/>
  <c r="P164" i="4" s="1"/>
  <c r="J134" i="4"/>
  <c r="J104" i="4"/>
  <c r="J73" i="4"/>
  <c r="J42" i="4"/>
  <c r="M116" i="4"/>
  <c r="M36" i="4"/>
  <c r="P36" i="4" s="1"/>
  <c r="O126" i="4"/>
  <c r="O38" i="4"/>
  <c r="P38" i="4" s="1"/>
  <c r="M143" i="4"/>
  <c r="M111" i="4"/>
  <c r="M79" i="4"/>
  <c r="M47" i="4"/>
  <c r="J160" i="4"/>
  <c r="J133" i="4"/>
  <c r="J103" i="4"/>
  <c r="J72" i="4"/>
  <c r="J41" i="4"/>
  <c r="M166" i="4"/>
  <c r="M114" i="4"/>
  <c r="O116" i="4"/>
  <c r="O65" i="4"/>
  <c r="P148" i="4"/>
  <c r="P40" i="4"/>
  <c r="B38" i="4"/>
  <c r="B42" i="4" s="1"/>
  <c r="E48" i="4" s="1"/>
  <c r="F48" i="4" s="1"/>
  <c r="J153" i="4"/>
  <c r="J89" i="4"/>
  <c r="J151" i="4"/>
  <c r="J55" i="4"/>
  <c r="M147" i="4"/>
  <c r="M115" i="4"/>
  <c r="M99" i="4"/>
  <c r="P99" i="4" s="1"/>
  <c r="M83" i="4"/>
  <c r="M67" i="4"/>
  <c r="M51" i="4"/>
  <c r="M35" i="4"/>
  <c r="O145" i="4"/>
  <c r="O113" i="4"/>
  <c r="O81" i="4"/>
  <c r="P81" i="4" s="1"/>
  <c r="O49" i="4"/>
  <c r="O33" i="4"/>
  <c r="J119" i="4"/>
  <c r="M98" i="4"/>
  <c r="M82" i="4"/>
  <c r="M66" i="4"/>
  <c r="M50" i="4"/>
  <c r="M34" i="4"/>
  <c r="J149" i="4"/>
  <c r="J117" i="4"/>
  <c r="J101" i="4"/>
  <c r="P101" i="4" s="1"/>
  <c r="J85" i="4"/>
  <c r="P85" i="4" s="1"/>
  <c r="J69" i="4"/>
  <c r="P69" i="4" s="1"/>
  <c r="J53" i="4"/>
  <c r="P53" i="4" s="1"/>
  <c r="J37" i="4"/>
  <c r="P163" i="4"/>
  <c r="P147" i="4"/>
  <c r="P115" i="4"/>
  <c r="M161" i="4"/>
  <c r="P161" i="4" s="1"/>
  <c r="M145" i="4"/>
  <c r="M129" i="4"/>
  <c r="M113" i="4"/>
  <c r="M97" i="4"/>
  <c r="M81" i="4"/>
  <c r="M65" i="4"/>
  <c r="M49" i="4"/>
  <c r="M33" i="4"/>
  <c r="O159" i="4"/>
  <c r="P159" i="4" s="1"/>
  <c r="O143" i="4"/>
  <c r="O127" i="4"/>
  <c r="P127" i="4" s="1"/>
  <c r="O111" i="4"/>
  <c r="O95" i="4"/>
  <c r="P95" i="4" s="1"/>
  <c r="O79" i="4"/>
  <c r="P79" i="4" s="1"/>
  <c r="O63" i="4"/>
  <c r="O47" i="4"/>
  <c r="J121" i="4"/>
  <c r="M160" i="4"/>
  <c r="O158" i="4"/>
  <c r="O142" i="4"/>
  <c r="O110" i="4"/>
  <c r="O78" i="4"/>
  <c r="O62" i="4"/>
  <c r="O46" i="4"/>
  <c r="M144" i="4"/>
  <c r="P144" i="4" s="1"/>
  <c r="M112" i="4"/>
  <c r="P112" i="4" s="1"/>
  <c r="M64" i="4"/>
  <c r="P64" i="4" s="1"/>
  <c r="O32" i="4"/>
  <c r="O157" i="4"/>
  <c r="O141" i="4"/>
  <c r="O125" i="4"/>
  <c r="O109" i="4"/>
  <c r="O93" i="4"/>
  <c r="O77" i="4"/>
  <c r="O61" i="4"/>
  <c r="O45" i="4"/>
  <c r="M128" i="4"/>
  <c r="M96" i="4"/>
  <c r="M80" i="4"/>
  <c r="M48" i="4"/>
  <c r="O94" i="4"/>
  <c r="J162" i="4"/>
  <c r="J146" i="4"/>
  <c r="P146" i="4" s="1"/>
  <c r="J130" i="4"/>
  <c r="J114" i="4"/>
  <c r="J98" i="4"/>
  <c r="J82" i="4"/>
  <c r="J66" i="4"/>
  <c r="J50" i="4"/>
  <c r="J34" i="4"/>
  <c r="M158" i="4"/>
  <c r="P158" i="4" s="1"/>
  <c r="M142" i="4"/>
  <c r="M126" i="4"/>
  <c r="M110" i="4"/>
  <c r="M94" i="4"/>
  <c r="P94" i="4" s="1"/>
  <c r="M78" i="4"/>
  <c r="P78" i="4" s="1"/>
  <c r="M62" i="4"/>
  <c r="P62" i="4" s="1"/>
  <c r="M46" i="4"/>
  <c r="O172" i="4"/>
  <c r="O156" i="4"/>
  <c r="O140" i="4"/>
  <c r="O124" i="4"/>
  <c r="O108" i="4"/>
  <c r="O92" i="4"/>
  <c r="O76" i="4"/>
  <c r="O60" i="4"/>
  <c r="O44" i="4"/>
  <c r="P143" i="4"/>
  <c r="P63" i="4"/>
  <c r="M32" i="4"/>
  <c r="P32" i="4" s="1"/>
  <c r="M157" i="4"/>
  <c r="M141" i="4"/>
  <c r="M125" i="4"/>
  <c r="M109" i="4"/>
  <c r="M93" i="4"/>
  <c r="M77" i="4"/>
  <c r="M61" i="4"/>
  <c r="P61" i="4" s="1"/>
  <c r="M45" i="4"/>
  <c r="P45" i="4" s="1"/>
  <c r="O171" i="4"/>
  <c r="O155" i="4"/>
  <c r="O139" i="4"/>
  <c r="O123" i="4"/>
  <c r="O107" i="4"/>
  <c r="O91" i="4"/>
  <c r="O75" i="4"/>
  <c r="O59" i="4"/>
  <c r="O43" i="4"/>
  <c r="J87" i="4"/>
  <c r="M172" i="4"/>
  <c r="M156" i="4"/>
  <c r="M140" i="4"/>
  <c r="M124" i="4"/>
  <c r="M108" i="4"/>
  <c r="M92" i="4"/>
  <c r="M76" i="4"/>
  <c r="M60" i="4"/>
  <c r="M44" i="4"/>
  <c r="O170" i="4"/>
  <c r="O154" i="4"/>
  <c r="O138" i="4"/>
  <c r="O122" i="4"/>
  <c r="O106" i="4"/>
  <c r="P106" i="4" s="1"/>
  <c r="O90" i="4"/>
  <c r="O74" i="4"/>
  <c r="O58" i="4"/>
  <c r="O42" i="4"/>
  <c r="P83" i="4"/>
  <c r="M171" i="4"/>
  <c r="P171" i="4" s="1"/>
  <c r="M155" i="4"/>
  <c r="P155" i="4" s="1"/>
  <c r="M139" i="4"/>
  <c r="P139" i="4" s="1"/>
  <c r="M123" i="4"/>
  <c r="M107" i="4"/>
  <c r="P107" i="4" s="1"/>
  <c r="M91" i="4"/>
  <c r="P91" i="4" s="1"/>
  <c r="M75" i="4"/>
  <c r="P75" i="4" s="1"/>
  <c r="M59" i="4"/>
  <c r="M43" i="4"/>
  <c r="O169" i="4"/>
  <c r="O153" i="4"/>
  <c r="O137" i="4"/>
  <c r="O121" i="4"/>
  <c r="O105" i="4"/>
  <c r="O89" i="4"/>
  <c r="O73" i="4"/>
  <c r="P73" i="4" s="1"/>
  <c r="O57" i="4"/>
  <c r="O41" i="4"/>
  <c r="M170" i="4"/>
  <c r="M154" i="4"/>
  <c r="M138" i="4"/>
  <c r="M122" i="4"/>
  <c r="M106" i="4"/>
  <c r="M90" i="4"/>
  <c r="M74" i="4"/>
  <c r="M58" i="4"/>
  <c r="P58" i="4" s="1"/>
  <c r="M42" i="4"/>
  <c r="O168" i="4"/>
  <c r="O152" i="4"/>
  <c r="O136" i="4"/>
  <c r="O120" i="4"/>
  <c r="P120" i="4" s="1"/>
  <c r="O104" i="4"/>
  <c r="O88" i="4"/>
  <c r="P88" i="4" s="1"/>
  <c r="O72" i="4"/>
  <c r="O56" i="4"/>
  <c r="J57" i="4"/>
  <c r="O151" i="4"/>
  <c r="O135" i="4"/>
  <c r="P135" i="4" s="1"/>
  <c r="O119" i="4"/>
  <c r="O103" i="4"/>
  <c r="O87" i="4"/>
  <c r="O55" i="4"/>
  <c r="P55" i="4" s="1"/>
  <c r="O167" i="4"/>
  <c r="P167" i="4" s="1"/>
  <c r="O39" i="4"/>
  <c r="J172" i="4"/>
  <c r="J156" i="4"/>
  <c r="J140" i="4"/>
  <c r="J124" i="4"/>
  <c r="J108" i="4"/>
  <c r="J92" i="4"/>
  <c r="J76" i="4"/>
  <c r="J60" i="4"/>
  <c r="M168" i="4"/>
  <c r="M152" i="4"/>
  <c r="M136" i="4"/>
  <c r="M120" i="4"/>
  <c r="M104" i="4"/>
  <c r="M88" i="4"/>
  <c r="M72" i="4"/>
  <c r="M56" i="4"/>
  <c r="O166" i="4"/>
  <c r="O150" i="4"/>
  <c r="P150" i="4" s="1"/>
  <c r="O134" i="4"/>
  <c r="P134" i="4" s="1"/>
  <c r="O118" i="4"/>
  <c r="P118" i="4" s="1"/>
  <c r="O102" i="4"/>
  <c r="P102" i="4" s="1"/>
  <c r="O86" i="4"/>
  <c r="P86" i="4" s="1"/>
  <c r="O70" i="4"/>
  <c r="P70" i="4" s="1"/>
  <c r="O54" i="4"/>
  <c r="P54" i="4" s="1"/>
  <c r="P165" i="4"/>
  <c r="P67" i="4"/>
  <c r="O71" i="4"/>
  <c r="P71" i="4" s="1"/>
  <c r="P105" i="4"/>
  <c r="P142" i="4"/>
  <c r="P97" i="4"/>
  <c r="P65" i="4"/>
  <c r="B37" i="4"/>
  <c r="B39" i="4" s="1"/>
  <c r="D31" i="4"/>
  <c r="C34" i="4"/>
  <c r="C36" i="4"/>
  <c r="C33" i="4"/>
  <c r="D33" i="4" s="1"/>
  <c r="J44" i="2"/>
  <c r="L44" i="2" s="1"/>
  <c r="J45" i="2"/>
  <c r="L45" i="2" s="1"/>
  <c r="J43" i="2"/>
  <c r="L43" i="2" s="1"/>
  <c r="J42" i="2"/>
  <c r="L42" i="2" s="1"/>
  <c r="J41" i="2"/>
  <c r="L41" i="2" s="1"/>
  <c r="K48" i="2"/>
  <c r="L48" i="2" s="1"/>
  <c r="K51" i="2"/>
  <c r="K50" i="2"/>
  <c r="L50" i="2" s="1"/>
  <c r="K49" i="2"/>
  <c r="L49" i="2" s="1"/>
  <c r="J51" i="2"/>
  <c r="L51" i="2" s="1"/>
  <c r="K47" i="2"/>
  <c r="L47" i="2" s="1"/>
  <c r="D46" i="2"/>
  <c r="D48" i="2" s="1"/>
  <c r="D50" i="2"/>
  <c r="C49" i="2"/>
  <c r="C50" i="2"/>
  <c r="B49" i="2"/>
  <c r="B50" i="2"/>
  <c r="H39" i="1"/>
  <c r="E18" i="1"/>
  <c r="B41" i="4" l="1"/>
  <c r="B49" i="9"/>
  <c r="C43" i="7"/>
  <c r="H42" i="7"/>
  <c r="I44" i="7"/>
  <c r="I42" i="7"/>
  <c r="F42" i="7"/>
  <c r="I43" i="7"/>
  <c r="G42" i="7"/>
  <c r="F44" i="7"/>
  <c r="F43" i="7"/>
  <c r="G44" i="7"/>
  <c r="H45" i="7"/>
  <c r="G43" i="7"/>
  <c r="E44" i="7"/>
  <c r="E42" i="7"/>
  <c r="H43" i="7"/>
  <c r="B42" i="7"/>
  <c r="B44" i="7"/>
  <c r="B45" i="7"/>
  <c r="H23" i="6"/>
  <c r="K25" i="6"/>
  <c r="K26" i="6" s="1"/>
  <c r="K29" i="6"/>
  <c r="K30" i="6" s="1"/>
  <c r="K33" i="6"/>
  <c r="K34" i="6" s="1"/>
  <c r="P157" i="4"/>
  <c r="P57" i="4"/>
  <c r="P56" i="4"/>
  <c r="P96" i="4"/>
  <c r="P50" i="4"/>
  <c r="P125" i="4"/>
  <c r="P47" i="4"/>
  <c r="P153" i="4"/>
  <c r="P151" i="4"/>
  <c r="P111" i="4"/>
  <c r="P37" i="4"/>
  <c r="P33" i="4"/>
  <c r="P46" i="4"/>
  <c r="P42" i="4"/>
  <c r="P122" i="4"/>
  <c r="P72" i="4"/>
  <c r="P44" i="4"/>
  <c r="P160" i="4"/>
  <c r="P66" i="4"/>
  <c r="P137" i="4"/>
  <c r="P166" i="4"/>
  <c r="P154" i="4"/>
  <c r="P104" i="4"/>
  <c r="P129" i="4"/>
  <c r="P49" i="4"/>
  <c r="P145" i="4"/>
  <c r="P82" i="4"/>
  <c r="P113" i="4"/>
  <c r="P68" i="4"/>
  <c r="P59" i="4"/>
  <c r="P103" i="4"/>
  <c r="P98" i="4"/>
  <c r="P34" i="4"/>
  <c r="P114" i="4"/>
  <c r="P93" i="4"/>
  <c r="P119" i="4"/>
  <c r="P41" i="4"/>
  <c r="P110" i="4"/>
  <c r="P130" i="4"/>
  <c r="P121" i="4"/>
  <c r="P170" i="4"/>
  <c r="P149" i="4"/>
  <c r="P43" i="4"/>
  <c r="P89" i="4"/>
  <c r="P126" i="4"/>
  <c r="P74" i="4"/>
  <c r="P123" i="4"/>
  <c r="P109" i="4"/>
  <c r="P51" i="4"/>
  <c r="P35" i="4"/>
  <c r="P77" i="4"/>
  <c r="P87" i="4"/>
  <c r="P80" i="4"/>
  <c r="P48" i="4"/>
  <c r="P162" i="4"/>
  <c r="P138" i="4"/>
  <c r="P39" i="4"/>
  <c r="P76" i="4"/>
  <c r="P108" i="4"/>
  <c r="P117" i="4"/>
  <c r="P141" i="4"/>
  <c r="P140" i="4"/>
  <c r="B40" i="4"/>
  <c r="E47" i="4" s="1"/>
  <c r="F47" i="4" s="1"/>
  <c r="P136" i="4"/>
  <c r="P92" i="4"/>
  <c r="P152" i="4"/>
  <c r="P60" i="4"/>
  <c r="P168" i="4"/>
  <c r="P124" i="4"/>
  <c r="P156" i="4"/>
  <c r="P172" i="4"/>
  <c r="P90" i="4"/>
  <c r="C37" i="4"/>
  <c r="D36" i="4"/>
  <c r="C38" i="4"/>
  <c r="C42" i="4" s="1"/>
  <c r="D34" i="4"/>
  <c r="D49" i="2"/>
  <c r="E19" i="1"/>
  <c r="B21" i="1" s="1"/>
  <c r="D29" i="1" s="1"/>
  <c r="H32" i="6" l="1"/>
  <c r="H28" i="6"/>
  <c r="E30" i="6" s="1"/>
  <c r="H33" i="6"/>
  <c r="H29" i="6"/>
  <c r="K21" i="6"/>
  <c r="K22" i="6" s="1"/>
  <c r="H24" i="6" s="1"/>
  <c r="C39" i="4"/>
  <c r="E45" i="4" s="1"/>
  <c r="F45" i="4" s="1"/>
  <c r="C40" i="4"/>
  <c r="E46" i="4" s="1"/>
  <c r="F46" i="4" s="1"/>
  <c r="C41" i="4"/>
  <c r="D37" i="4"/>
  <c r="D38" i="4"/>
  <c r="D40" i="4" s="1"/>
  <c r="B20" i="1"/>
  <c r="J29" i="1"/>
  <c r="G29" i="1"/>
  <c r="D30" i="1"/>
  <c r="C30" i="1" s="1"/>
  <c r="B22" i="1"/>
  <c r="E26" i="6" l="1"/>
  <c r="B28" i="6" s="1"/>
  <c r="E31" i="6"/>
  <c r="H25" i="6"/>
  <c r="D39" i="4"/>
  <c r="E49" i="4" s="1"/>
  <c r="F49" i="4" s="1"/>
  <c r="F51" i="4" s="1"/>
  <c r="D41" i="4"/>
  <c r="E50" i="4" s="1"/>
  <c r="F50" i="4" s="1"/>
  <c r="D42" i="4"/>
  <c r="J38" i="1"/>
  <c r="I38" i="1" s="1"/>
  <c r="C32" i="1"/>
  <c r="C39" i="1"/>
  <c r="G35" i="1"/>
  <c r="F35" i="1" s="1"/>
  <c r="D39" i="1"/>
  <c r="I32" i="1"/>
  <c r="I39" i="1" s="1"/>
  <c r="F32" i="1"/>
  <c r="E27" i="6" l="1"/>
  <c r="G39" i="1"/>
  <c r="J39" i="1"/>
  <c r="F39" i="1"/>
  <c r="B29" i="6" l="1"/>
</calcChain>
</file>

<file path=xl/sharedStrings.xml><?xml version="1.0" encoding="utf-8"?>
<sst xmlns="http://schemas.openxmlformats.org/spreadsheetml/2006/main" count="340" uniqueCount="219">
  <si>
    <t>Ванильный колл (2 балла)</t>
  </si>
  <si>
    <t>Рассмотрим одношаговую биномиальную модель. Шаг в дереве состав-</t>
  </si>
  <si>
    <t>ляет 1 месяц (𝜏 = 1/12 года). Акция, которая на платит дивидендов,</t>
  </si>
  <si>
    <t>стоит сегодня 𝑆 = $100. Акция может вырасти либо в 𝑢 = 1.2 раза, либо</t>
  </si>
  <si>
    <t>в 𝑑 = 0.8 раза. Безрисковая процентная ставка 𝑟 = 0%. Сколько стоит</t>
  </si>
  <si>
    <t>европейский колл-опцион со страйком 𝐾 = $105 и датой исполнения</t>
  </si>
  <si>
    <t>через 1 месяц? Предположим, что на рынке такой колл стоит $5. Предъ-</t>
  </si>
  <si>
    <t>явите арбитражную стратегию, которая позволит заработать на ошибке</t>
  </si>
  <si>
    <t>рынка.</t>
  </si>
  <si>
    <t>S</t>
  </si>
  <si>
    <t>u</t>
  </si>
  <si>
    <t>d</t>
  </si>
  <si>
    <t>K</t>
  </si>
  <si>
    <t>r</t>
  </si>
  <si>
    <t>tau</t>
  </si>
  <si>
    <t>Spot (S)</t>
  </si>
  <si>
    <t>Risk-free</t>
  </si>
  <si>
    <t>Years</t>
  </si>
  <si>
    <t>Strike (K)</t>
  </si>
  <si>
    <t>Risk-neutral probability (q)</t>
  </si>
  <si>
    <t>Stock</t>
  </si>
  <si>
    <t>Option Value</t>
  </si>
  <si>
    <t>Value</t>
  </si>
  <si>
    <t>Delta</t>
  </si>
  <si>
    <t>Cash</t>
  </si>
  <si>
    <t>Market call</t>
  </si>
  <si>
    <t>Suppose that the option is priced at $5 on the market</t>
  </si>
  <si>
    <t>Option</t>
  </si>
  <si>
    <t>Today</t>
  </si>
  <si>
    <t>In 1 month, the stock is at 120</t>
  </si>
  <si>
    <t>In 1 month, the stock is at 80</t>
  </si>
  <si>
    <t>1. Borrow the stock</t>
  </si>
  <si>
    <t>2. Sell the stock</t>
  </si>
  <si>
    <t>3. Buy 1 option</t>
  </si>
  <si>
    <t>4. Invest the cash</t>
  </si>
  <si>
    <t>Case 1. Stock at 120</t>
  </si>
  <si>
    <t>1. Exercise the option</t>
  </si>
  <si>
    <t>2. Buy the stock</t>
  </si>
  <si>
    <t>Case 2. Stock at 80</t>
  </si>
  <si>
    <t>1. The option expires</t>
  </si>
  <si>
    <t>2. Sell the residual</t>
  </si>
  <si>
    <t>Total</t>
  </si>
  <si>
    <t>Мы обсудили на лекции, что европейский цифровой колл можно при-</t>
  </si>
  <si>
    <t>близить комбинацией ванильных опционов. Мы сказали, что прибли-</t>
  </si>
  <si>
    <t>жение неточное, потому что для точной репликации нам бы потре-</t>
  </si>
  <si>
    <t>бовалось бесконечное количество опционов. Так устроен мир матема-</t>
  </si>
  <si>
    <t>тических теорий, в котором рыночные цены могу принимать любое</t>
  </si>
  <si>
    <t>значение из множества действительных чисел ℝ .</t>
  </si>
  <si>
    <t>Мы живём в реальном мире, в котором цены, как правило, дискрет-</t>
  </si>
  <si>
    <t>ные, а не непрерывные. Например, референсный курс EURUSD World</t>
  </si>
  <si>
    <t>Money / Reuters (WMR) London 4pm, к которому привязаны многие де-</t>
  </si>
  <si>
    <t>ривативы, округляется до 5 знака после запятой. Этот курс в принципе</t>
  </si>
  <si>
    <t>не может принять значение 1.123456, он может быть либо 1.12345, либо</t>
  </si>
  <si>
    <t>1.12346. Аналогично, межбанковская торговая система EBS в принци-</t>
  </si>
  <si>
    <t>пе не позволит выставить заявку с ценой длиннее, чем 5 знаков после</t>
  </si>
  <si>
    <t>запятой.</t>
  </si>
  <si>
    <t>Рассмотрим европейский цифовой пут на валютную пару EURUSD</t>
  </si>
  <si>
    <t>долларов, если в дату экспирации опубликованный курс WMR London</t>
  </si>
  <si>
    <t>В вашем распоряжении ликвидный рынок ванильных путов, при-</t>
  </si>
  <si>
    <t>вязанных к тому же референсному курсу WMR London 4pm. Вы можете</t>
  </si>
  <si>
    <t>покупать и продавать ванильные путы с любыми страйками. Как можно</t>
  </si>
  <si>
    <t>в точности реплицировать цифровой пут? Сколько и каких путов нужно</t>
  </si>
  <si>
    <t>продать или купить? Сколько стоит такой реплицирующий портфель в</t>
  </si>
  <si>
    <t>модели Блэка-Шоулза?</t>
  </si>
  <si>
    <t>Указание. В модели Блэка-Шоулза первая валюта пары (евро) — «ак-</t>
  </si>
  <si>
    <t>ция», вторая (доллар) — «деньги».</t>
  </si>
  <si>
    <t>(евро-доллар) со страйком 𝐾 = 1.0700. Этот опцион выплатит𝑁 = 100 000</t>
  </si>
  <si>
    <t>4pm будет в точности 1.0700 или ниже. Текущий спот-курс евро-доллар</t>
  </si>
  <si>
    <t>𝑆 = 1.08, срок экспирации 𝑇 = 0.25 лет, волатильность в модели Блэка-</t>
  </si>
  <si>
    <t>Шоулза 𝜎 = 10%, безрисковые ставки в долларах и евро 𝑟 = 5% и 𝑞 =</t>
  </si>
  <si>
    <t>3% соответственно (непрерывная капитализация процентов). Сколько</t>
  </si>
  <si>
    <t>стоит такой цифровой пут в модели Блэка-Шоулза?</t>
  </si>
  <si>
    <t>T</t>
  </si>
  <si>
    <t>q</t>
  </si>
  <si>
    <t>sigma</t>
  </si>
  <si>
    <t>d1</t>
  </si>
  <si>
    <t>d2</t>
  </si>
  <si>
    <t>European call</t>
  </si>
  <si>
    <t>European put</t>
  </si>
  <si>
    <t>Digital call</t>
  </si>
  <si>
    <t>Digital put</t>
  </si>
  <si>
    <t>N</t>
  </si>
  <si>
    <t>N, USD</t>
  </si>
  <si>
    <t>Rate step</t>
  </si>
  <si>
    <t>// Black-scholes formula yields price of a put that pays 1 unit of 'money'. We need to scale it by the desired payoff in USD</t>
  </si>
  <si>
    <t>Quantity</t>
  </si>
  <si>
    <t>Price</t>
  </si>
  <si>
    <t>Цифровой пут (2 балла)</t>
  </si>
  <si>
    <t>// We need 100,000 vanilla puts to replicate 1 digital, so 10 billion puts to replicate 100k digitals</t>
  </si>
  <si>
    <t>Strike</t>
  </si>
  <si>
    <t>Put spread</t>
  </si>
  <si>
    <t>Spot at T</t>
  </si>
  <si>
    <t>Digital</t>
  </si>
  <si>
    <t>Стрэддл с барьерами (2 балла)</t>
  </si>
  <si>
    <t>Стрэддл с барьерами похож на обычный стрэддл из лекций, но пре-</t>
  </si>
  <si>
    <t>вращается в тыкву, если цена базового актива уходит очень далеко от</t>
  </si>
  <si>
    <t>страйка. График выплаты приведён на рисунке 1. Такой стрэддл задаёт-</t>
  </si>
  <si>
    <t>ся центральным страйком 𝐾, нижним барьером 𝐵1 и верхним барьером</t>
  </si>
  <si>
    <t>𝐵2, причём 𝐵1 &lt; 𝐾 &lt; 𝐵2. Выплата по барьерному стрэддлу в зависимости</t>
  </si>
  <si>
    <t>от цены базового актива на момент экспирации 𝑆(𝑇 ) равна</t>
  </si>
  <si>
    <t>0, 𝑆(𝑇 ) ≤ 𝐵1</t>
  </si>
  <si>
    <t>|𝑆(𝑇 ) − 𝐾|, 𝐵1 &lt; 𝑆(𝑇 ) &lt; 𝐵2</t>
  </si>
  <si>
    <t>0, 𝑆(𝑇 ) ≥ 𝐵2</t>
  </si>
  <si>
    <t>Как реплицировать такой стрэддл при помощи европейских ваниль-</t>
  </si>
  <si>
    <t>ных и/или цифровых опционов? Предположим, что мы живём в мире</t>
  </si>
  <si>
    <t>Payoff</t>
  </si>
  <si>
    <t>Блэка-Шоулза. Акция, которая не платит дивидендов, стоит 𝑆 = $100.</t>
  </si>
  <si>
    <t>Волатильность акции 𝜎 = 20%, безрисковая ставка 𝑟 = 5% (непрерывная</t>
  </si>
  <si>
    <t>капитализация). Сколько стоит барьерный стрэддл со сроком погаше-</t>
  </si>
  <si>
    <t>ния 𝑇 = 1 год, страйком 𝐾 = $105, барьерами 𝐵1 = $80 и 𝐵2 = $130?</t>
  </si>
  <si>
    <t>Указание. Считайте, что цифровой опцион платит 1 единицу валюты</t>
  </si>
  <si>
    <t>при точном попадании в страйк.</t>
  </si>
  <si>
    <t>B1</t>
  </si>
  <si>
    <t>B2</t>
  </si>
  <si>
    <t>Cost</t>
  </si>
  <si>
    <t>Spot (T)</t>
  </si>
  <si>
    <t>Стрэддл в биномиальном дереве (3 балла)</t>
  </si>
  <si>
    <t>Рассмотрим трёхшаговую биномиальную модель. Каждый шаг состав-</t>
  </si>
  <si>
    <t>ляет 3 месяца (𝜏 = 0.25 года). Акция, которая не платит дивидендов,</t>
  </si>
  <si>
    <t>стоит сейчас 𝑆 = $200. Безрисковая процентная ставка 𝑟 = 4% (простые</t>
  </si>
  <si>
    <t>проценты без капитализации). На каждом шаге акция может либо вы-</t>
  </si>
  <si>
    <t>расти в 𝑢 = 1.1 раза, либо упасть в 𝑑 = 0.9 раза.</t>
  </si>
  <si>
    <t>Сколько стоит стрэддл (комбинация из ванильных колла и пута)</t>
  </si>
  <si>
    <t>со страйком 𝐾 = $207 и датой экспирации через 9 месяцев (на третьем</t>
  </si>
  <si>
    <t>шаге дерева)? Рассчитайте также дельту в промежуточных узлах дерева.</t>
  </si>
  <si>
    <t>Решите сами, как вам удобнее: посчитать сразу стрэддл, или посчитать</t>
  </si>
  <si>
    <t>колл и пут по отдельности.</t>
  </si>
  <si>
    <t>// Risk-neutral probability</t>
  </si>
  <si>
    <t>Купоны и волатильность (3 балла)</t>
  </si>
  <si>
    <t>Рассмотрим структурный продукт, в котором инвестор зарабатывает</t>
  </si>
  <si>
    <t>повышенный купонный доход при сильном движении рынка в любом</t>
  </si>
  <si>
    <t>направлении.</t>
  </si>
  <si>
    <t>Предположим, что клиент инвестирует номинал 𝑁 = $100 000 в ноту,</t>
  </si>
  <si>
    <t>привязанную к индексу S&amp;P 500. Срок жизни ноты 𝑇 = 1 год. В конце</t>
  </si>
  <si>
    <t>года инвестор гарантированно получит назад весь номинал. Текущий</t>
  </si>
  <si>
    <t>уровень индекса 𝑆 = $5 200.</t>
  </si>
  <si>
    <t>Четыре раза в течение жизни (через 𝑡1 = 0.25, 𝑡2 = 0.5, 𝑡3 = 0.75 и</t>
  </si>
  <si>
    <t>𝑇 = 1 год) нота может выплатить (а может и не выплатить) купон в</t>
  </si>
  <si>
    <t>𝑥% годовых от инвестированного номинала. Например, если 𝑥 = 4%, и</t>
  </si>
  <si>
    <t>случилась выплата через 𝑡2 = 0.5 года, то инвестор получает𝑁 ⋅𝑥⋅(𝑡2−𝑡1) =</t>
  </si>
  <si>
    <t>$100 000 ⋅ 4% ⋅ (0.5 − 0.25) = $1 000.</t>
  </si>
  <si>
    <t>Условие выплаты каждого из купонов: в купонную дату индекс</t>
  </si>
  <si>
    <t>S&amp;P 500 должен находиться либо на уровне 𝐾1 = $4 700 и ниже, либо</t>
  </si>
  <si>
    <t>на уровне 𝐾2 = 5 700 и выше. Если индекс останавливается между 𝐾1 и</t>
  </si>
  <si>
    <t>𝐾2, то в эту дату купона не будет. Выплата или невыплата предыдущего</t>
  </si>
  <si>
    <t>купона не влияет на последующие.</t>
  </si>
  <si>
    <t>Как реплицировать такую ноту при помощи безрискового депозита</t>
  </si>
  <si>
    <t>и/или европейских ванильных и/или европейских цифровых опцио-</t>
  </si>
  <si>
    <t>нов?</t>
  </si>
  <si>
    <t>Волатильность индекса в модели Блэка-Шоулза 𝜎 = 20%. Безриско-</t>
  </si>
  <si>
    <t>вая процентная ставка 𝑟 = 5%, дивидендная доходность индекса 𝑞 = 2%</t>
  </si>
  <si>
    <t>(обе ставки с непрерывной капитализацией). Какова справедливая ку-</t>
  </si>
  <si>
    <t>понная ставка 𝑥% в такой ноте (проценты годовых, без капитализации)?</t>
  </si>
  <si>
    <t>t1</t>
  </si>
  <si>
    <t>t2</t>
  </si>
  <si>
    <t>t3</t>
  </si>
  <si>
    <t>K1</t>
  </si>
  <si>
    <t>K2</t>
  </si>
  <si>
    <t>Total cost per 1 unit of digital:</t>
  </si>
  <si>
    <t>Expiration</t>
  </si>
  <si>
    <t>Replication strategy:</t>
  </si>
  <si>
    <t>1. Invest part of the initial amount at a risk-free rate, to be able to repay it in 1 year</t>
  </si>
  <si>
    <t>Invest today:</t>
  </si>
  <si>
    <t>Reclaim in 1 year:</t>
  </si>
  <si>
    <t>2. Buy as many digital options as we can</t>
  </si>
  <si>
    <t>Price per 1 unit:</t>
  </si>
  <si>
    <t>Budget:</t>
  </si>
  <si>
    <t>Units that we can buy:</t>
  </si>
  <si>
    <t>Total per structure:</t>
  </si>
  <si>
    <t>3. Every time when there is a coupon to be paid, one of the digitals will provide that money</t>
  </si>
  <si>
    <t>Each structure of the digitals provide $1 per quarter, so the annualized rate is…</t>
  </si>
  <si>
    <t>// Fair coupon rate, percent annualized</t>
  </si>
  <si>
    <t>Ограниченное участие в убытках (3 балла)</t>
  </si>
  <si>
    <t>Структурная нота предлагает инвестировать в индекс S&amp;P 500 с ограни-</t>
  </si>
  <si>
    <t>ченным участием в убытках от возможного снижения индекса.</t>
  </si>
  <si>
    <t>Инвестор покупает ноту за 𝑁 = $100 000. Текущий уровень индекса</t>
  </si>
  <si>
    <t>𝑆0 = $5 000, то есть инвестор покупает 20 «акций» индекса. Если через</t>
  </si>
  <si>
    <t>𝑇 = 1 год индекс оказывается между текущим уровнем 𝑆0 и страйком</t>
  </si>
  <si>
    <t>𝐾 = $5 200, то инвестор получает назад свой капитал и ничего не зара-</t>
  </si>
  <si>
    <t>батывает сверху.</t>
  </si>
  <si>
    <t>Если индекс вырос выше, чем 𝐾 = $5 200, то инвестор не только</t>
  </si>
  <si>
    <t>получает назад номинал 𝑁, но и участвует в прибыли от роста индекса</t>
  </si>
  <si>
    <t>по формуле (𝑆𝑇 −𝐾)⋅𝑁/𝑆0, где 𝑆𝑇 —уровень индекса через год. Например,</t>
  </si>
  <si>
    <t>если индекс вырос до 𝑆𝑇 = $5 500, то инвестор зарабатывает ($5 500 −</t>
  </si>
  <si>
    <t>$5 200)⋅$100 000/$5 000 = $6 000, то есть по $300 с каждой из 20 купленных</t>
  </si>
  <si>
    <t>«акций» индекса.</t>
  </si>
  <si>
    <t>Если за год индекс упал относительно сегодняшнего уровня, то ин-</t>
  </si>
  <si>
    <t>вестор начинает участвовать в убытках и получает назад не весь вло-</t>
  </si>
  <si>
    <t>женный номинал, а только часть. Коэффициент участия в убытках 𝑥%</t>
  </si>
  <si>
    <t>— параметр ноты, который вам предстоит вычислить. Формально, если</t>
  </si>
  <si>
    <t>индекс упал до уроня 𝑆𝑇 , то убыток инвестора равен 𝑥 ⋅ (𝑆𝑇 − 𝑆0) ⋅ 𝑁/𝑆0.</t>
  </si>
  <si>
    <t>Например, предположим, что 𝑥 = 60%, а индекс упал до 𝑆𝑇 = $4 500.</t>
  </si>
  <si>
    <t>Инвестор теряет 60%⋅($4 500−$5 000)⋅$100 000/$5 000 = −$6 000 и получает</t>
  </si>
  <si>
    <t>в конце года $94 000. Если бы инвестор участвовал в убытках полностью,</t>
  </si>
  <si>
    <t>он потерял бы по $500 долларов с каждой «акции» индекса или $10 000</t>
  </si>
  <si>
    <t>в сумме.</t>
  </si>
  <si>
    <t>нов? Волатильность индекса в модели Блэка-Шоулза 𝜎 = 20%. Безриско-</t>
  </si>
  <si>
    <t>(обе ставки с непрерывной капитализацией). Каков справедливый ко-</t>
  </si>
  <si>
    <t>эффициент участия в убытках 𝑥%?</t>
  </si>
  <si>
    <t>The note can be replicated as follows:</t>
  </si>
  <si>
    <t>1. Invest most cash at a risk-free rate</t>
  </si>
  <si>
    <t>2. Sell some puts-5000 to participate in losses</t>
  </si>
  <si>
    <t>3. Use the proceeds to buy calls-5200 to participate in the gains</t>
  </si>
  <si>
    <t>1. Invest cash</t>
  </si>
  <si>
    <t>Reclain in 1 year</t>
  </si>
  <si>
    <t>Invest today</t>
  </si>
  <si>
    <t>2. Buys calls-5200</t>
  </si>
  <si>
    <t>3. Sell puts-5000</t>
  </si>
  <si>
    <t>Price/unit</t>
  </si>
  <si>
    <t>Puts to sell</t>
  </si>
  <si>
    <t>Loss participation</t>
  </si>
  <si>
    <t>Deficit</t>
  </si>
  <si>
    <t>Spot(T)</t>
  </si>
  <si>
    <t>Risk-free cash</t>
  </si>
  <si>
    <t>Long Calls-5200</t>
  </si>
  <si>
    <t>Short Puts-5000</t>
  </si>
  <si>
    <t>Plain SP500 investment</t>
  </si>
  <si>
    <t>Total gain</t>
  </si>
  <si>
    <t>// The note is a combiation of a risk-free deposit and 4 digital call/put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</si>
</sst>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0.0"/>
    <numFmt numFmtId="166" formatCode="0.000"/>
    <numFmt numFmtId="167" formatCode="0.0000"/>
    <numFmt numFmtId="168" formatCode="0.00000"/>
    <numFmt numFmtId="169" formatCode="#,##0.000"/>
    <numFmt numFmtId="170" formatCode="#,##0.000000"/>
    <numFmt numFmtId="171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4" fontId="0" fillId="0" borderId="3" xfId="0" applyNumberFormat="1" applyBorder="1"/>
    <xf numFmtId="2" fontId="0" fillId="3" borderId="7" xfId="0" applyNumberFormat="1" applyFill="1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1" fillId="0" borderId="0" xfId="0" applyFont="1"/>
    <xf numFmtId="169" fontId="0" fillId="0" borderId="0" xfId="0" applyNumberFormat="1"/>
    <xf numFmtId="9" fontId="0" fillId="0" borderId="0" xfId="0" applyNumberFormat="1"/>
    <xf numFmtId="3" fontId="0" fillId="0" borderId="0" xfId="0" applyNumberFormat="1"/>
    <xf numFmtId="167" fontId="0" fillId="2" borderId="0" xfId="0" applyNumberFormat="1" applyFill="1"/>
    <xf numFmtId="3" fontId="0" fillId="2" borderId="0" xfId="0" applyNumberFormat="1" applyFill="1"/>
    <xf numFmtId="169" fontId="0" fillId="3" borderId="0" xfId="0" applyNumberFormat="1" applyFill="1"/>
    <xf numFmtId="170" fontId="0" fillId="3" borderId="0" xfId="0" applyNumberFormat="1" applyFill="1"/>
    <xf numFmtId="4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4" fontId="0" fillId="0" borderId="7" xfId="0" applyNumberFormat="1" applyBorder="1"/>
    <xf numFmtId="9" fontId="0" fillId="0" borderId="5" xfId="0" applyNumberFormat="1" applyBorder="1"/>
    <xf numFmtId="171" fontId="0" fillId="2" borderId="0" xfId="0" applyNumberFormat="1" applyFill="1"/>
    <xf numFmtId="171" fontId="0" fillId="3" borderId="0" xfId="0" applyNumberFormat="1" applyFill="1"/>
    <xf numFmtId="4" fontId="0" fillId="3" borderId="7" xfId="0" applyNumberFormat="1" applyFill="1" applyBorder="1"/>
    <xf numFmtId="9" fontId="0" fillId="3" borderId="5" xfId="0" applyNumberFormat="1" applyFill="1" applyBorder="1"/>
    <xf numFmtId="1" fontId="0" fillId="0" borderId="0" xfId="0" applyNumberFormat="1"/>
    <xf numFmtId="169" fontId="0" fillId="2" borderId="0" xfId="0" applyNumberFormat="1" applyFill="1"/>
    <xf numFmtId="2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Problem3!$J$31</c:f>
              <c:strCache>
                <c:ptCount val="1"/>
                <c:pt idx="0">
                  <c:v>Long call-105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Problem3!$J$32:$J$172</c:f>
              <c:numCache>
                <c:formatCode>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24.97999999999999</c:v>
                </c:pt>
                <c:pt idx="59">
                  <c:v>24.990000000000009</c:v>
                </c:pt>
                <c:pt idx="60">
                  <c:v>25</c:v>
                </c:pt>
                <c:pt idx="61">
                  <c:v>25.009999999999991</c:v>
                </c:pt>
                <c:pt idx="62">
                  <c:v>25.02000000000001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83</c:v>
                </c:pt>
                <c:pt idx="119">
                  <c:v>84</c:v>
                </c:pt>
                <c:pt idx="120">
                  <c:v>85</c:v>
                </c:pt>
                <c:pt idx="121">
                  <c:v>86</c:v>
                </c:pt>
                <c:pt idx="122">
                  <c:v>87</c:v>
                </c:pt>
                <c:pt idx="123">
                  <c:v>88</c:v>
                </c:pt>
                <c:pt idx="124">
                  <c:v>89</c:v>
                </c:pt>
                <c:pt idx="125">
                  <c:v>90</c:v>
                </c:pt>
                <c:pt idx="126">
                  <c:v>91</c:v>
                </c:pt>
                <c:pt idx="127">
                  <c:v>92</c:v>
                </c:pt>
                <c:pt idx="128">
                  <c:v>93</c:v>
                </c:pt>
                <c:pt idx="129">
                  <c:v>94</c:v>
                </c:pt>
                <c:pt idx="130">
                  <c:v>95</c:v>
                </c:pt>
                <c:pt idx="131">
                  <c:v>96</c:v>
                </c:pt>
                <c:pt idx="132">
                  <c:v>97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101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E-49E5-8C76-757C8D1774DB}"/>
            </c:ext>
          </c:extLst>
        </c:ser>
        <c:ser>
          <c:idx val="1"/>
          <c:order val="1"/>
          <c:tx>
            <c:strRef>
              <c:f>Problem3!$K$31</c:f>
              <c:strCache>
                <c:ptCount val="1"/>
                <c:pt idx="0">
                  <c:v>Long put-105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Problem3!$K$32:$K$172</c:f>
              <c:numCache>
                <c:formatCode>0.00</c:formatCode>
                <c:ptCount val="14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25.019999999999996</c:v>
                </c:pt>
                <c:pt idx="9">
                  <c:v>25.010000000000005</c:v>
                </c:pt>
                <c:pt idx="10">
                  <c:v>25</c:v>
                </c:pt>
                <c:pt idx="11">
                  <c:v>24.989999999999995</c:v>
                </c:pt>
                <c:pt idx="12">
                  <c:v>24.980000000000004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E-49E5-8C76-757C8D1774DB}"/>
            </c:ext>
          </c:extLst>
        </c:ser>
        <c:ser>
          <c:idx val="2"/>
          <c:order val="2"/>
          <c:tx>
            <c:strRef>
              <c:f>Problem3!$L$31</c:f>
              <c:strCache>
                <c:ptCount val="1"/>
                <c:pt idx="0">
                  <c:v>Short put-80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Problem3!$L$32:$L$172</c:f>
              <c:numCache>
                <c:formatCode>0.00</c:formatCode>
                <c:ptCount val="14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-1.9999999999996021E-2</c:v>
                </c:pt>
                <c:pt idx="9">
                  <c:v>-1.0000000000005116E-2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E-49E5-8C76-757C8D1774DB}"/>
            </c:ext>
          </c:extLst>
        </c:ser>
        <c:ser>
          <c:idx val="3"/>
          <c:order val="3"/>
          <c:tx>
            <c:strRef>
              <c:f>Problem3!$M$31</c:f>
              <c:strCache>
                <c:ptCount val="1"/>
                <c:pt idx="0">
                  <c:v>Short 25x digial put-80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Problem3!$M$32:$M$172</c:f>
              <c:numCache>
                <c:formatCode>#,##0.00</c:formatCode>
                <c:ptCount val="141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E-49E5-8C76-757C8D1774DB}"/>
            </c:ext>
          </c:extLst>
        </c:ser>
        <c:ser>
          <c:idx val="4"/>
          <c:order val="4"/>
          <c:tx>
            <c:strRef>
              <c:f>Problem3!$N$31</c:f>
              <c:strCache>
                <c:ptCount val="1"/>
                <c:pt idx="0">
                  <c:v>Short call-130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Problem3!$N$32:$N$172</c:f>
              <c:numCache>
                <c:formatCode>#,##0.00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-9.9999999999909051E-3</c:v>
                </c:pt>
                <c:pt idx="62">
                  <c:v>-2.0000000000010232E-2</c:v>
                </c:pt>
                <c:pt idx="63">
                  <c:v>-3</c:v>
                </c:pt>
                <c:pt idx="64">
                  <c:v>-4</c:v>
                </c:pt>
                <c:pt idx="65">
                  <c:v>-5</c:v>
                </c:pt>
                <c:pt idx="66">
                  <c:v>-6</c:v>
                </c:pt>
                <c:pt idx="67">
                  <c:v>-7</c:v>
                </c:pt>
                <c:pt idx="68">
                  <c:v>-8</c:v>
                </c:pt>
                <c:pt idx="69">
                  <c:v>-9</c:v>
                </c:pt>
                <c:pt idx="70">
                  <c:v>-10</c:v>
                </c:pt>
                <c:pt idx="71">
                  <c:v>-11</c:v>
                </c:pt>
                <c:pt idx="72">
                  <c:v>-12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-17</c:v>
                </c:pt>
                <c:pt idx="78">
                  <c:v>-18</c:v>
                </c:pt>
                <c:pt idx="79">
                  <c:v>-19</c:v>
                </c:pt>
                <c:pt idx="80">
                  <c:v>-20</c:v>
                </c:pt>
                <c:pt idx="81">
                  <c:v>-21</c:v>
                </c:pt>
                <c:pt idx="82">
                  <c:v>-22</c:v>
                </c:pt>
                <c:pt idx="83">
                  <c:v>-23</c:v>
                </c:pt>
                <c:pt idx="84">
                  <c:v>-24</c:v>
                </c:pt>
                <c:pt idx="85">
                  <c:v>-25</c:v>
                </c:pt>
                <c:pt idx="86">
                  <c:v>-26</c:v>
                </c:pt>
                <c:pt idx="87">
                  <c:v>-27</c:v>
                </c:pt>
                <c:pt idx="88">
                  <c:v>-28</c:v>
                </c:pt>
                <c:pt idx="89">
                  <c:v>-29</c:v>
                </c:pt>
                <c:pt idx="90">
                  <c:v>-30</c:v>
                </c:pt>
                <c:pt idx="91">
                  <c:v>-31</c:v>
                </c:pt>
                <c:pt idx="92">
                  <c:v>-32</c:v>
                </c:pt>
                <c:pt idx="93">
                  <c:v>-33</c:v>
                </c:pt>
                <c:pt idx="94">
                  <c:v>-34</c:v>
                </c:pt>
                <c:pt idx="95">
                  <c:v>-35</c:v>
                </c:pt>
                <c:pt idx="96">
                  <c:v>-36</c:v>
                </c:pt>
                <c:pt idx="97">
                  <c:v>-37</c:v>
                </c:pt>
                <c:pt idx="98">
                  <c:v>-38</c:v>
                </c:pt>
                <c:pt idx="99">
                  <c:v>-39</c:v>
                </c:pt>
                <c:pt idx="100">
                  <c:v>-40</c:v>
                </c:pt>
                <c:pt idx="101">
                  <c:v>-41</c:v>
                </c:pt>
                <c:pt idx="102">
                  <c:v>-42</c:v>
                </c:pt>
                <c:pt idx="103">
                  <c:v>-43</c:v>
                </c:pt>
                <c:pt idx="104">
                  <c:v>-44</c:v>
                </c:pt>
                <c:pt idx="105">
                  <c:v>-45</c:v>
                </c:pt>
                <c:pt idx="106">
                  <c:v>-46</c:v>
                </c:pt>
                <c:pt idx="107">
                  <c:v>-47</c:v>
                </c:pt>
                <c:pt idx="108">
                  <c:v>-48</c:v>
                </c:pt>
                <c:pt idx="109">
                  <c:v>-49</c:v>
                </c:pt>
                <c:pt idx="110">
                  <c:v>-50</c:v>
                </c:pt>
                <c:pt idx="111">
                  <c:v>-51</c:v>
                </c:pt>
                <c:pt idx="112">
                  <c:v>-52</c:v>
                </c:pt>
                <c:pt idx="113">
                  <c:v>-53</c:v>
                </c:pt>
                <c:pt idx="114">
                  <c:v>-54</c:v>
                </c:pt>
                <c:pt idx="115">
                  <c:v>-55</c:v>
                </c:pt>
                <c:pt idx="116">
                  <c:v>-56</c:v>
                </c:pt>
                <c:pt idx="117">
                  <c:v>-57</c:v>
                </c:pt>
                <c:pt idx="118">
                  <c:v>-58</c:v>
                </c:pt>
                <c:pt idx="119">
                  <c:v>-59</c:v>
                </c:pt>
                <c:pt idx="120">
                  <c:v>-60</c:v>
                </c:pt>
                <c:pt idx="121">
                  <c:v>-61</c:v>
                </c:pt>
                <c:pt idx="122">
                  <c:v>-62</c:v>
                </c:pt>
                <c:pt idx="123">
                  <c:v>-63</c:v>
                </c:pt>
                <c:pt idx="124">
                  <c:v>-64</c:v>
                </c:pt>
                <c:pt idx="125">
                  <c:v>-65</c:v>
                </c:pt>
                <c:pt idx="126">
                  <c:v>-66</c:v>
                </c:pt>
                <c:pt idx="127">
                  <c:v>-67</c:v>
                </c:pt>
                <c:pt idx="128">
                  <c:v>-68</c:v>
                </c:pt>
                <c:pt idx="129">
                  <c:v>-69</c:v>
                </c:pt>
                <c:pt idx="130">
                  <c:v>-70</c:v>
                </c:pt>
                <c:pt idx="131">
                  <c:v>-71</c:v>
                </c:pt>
                <c:pt idx="132">
                  <c:v>-72</c:v>
                </c:pt>
                <c:pt idx="133">
                  <c:v>-73</c:v>
                </c:pt>
                <c:pt idx="134">
                  <c:v>-74</c:v>
                </c:pt>
                <c:pt idx="135">
                  <c:v>-75</c:v>
                </c:pt>
                <c:pt idx="136">
                  <c:v>-76</c:v>
                </c:pt>
                <c:pt idx="137">
                  <c:v>-77</c:v>
                </c:pt>
                <c:pt idx="138">
                  <c:v>-78</c:v>
                </c:pt>
                <c:pt idx="139">
                  <c:v>-79</c:v>
                </c:pt>
                <c:pt idx="140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8E-49E5-8C76-757C8D1774DB}"/>
            </c:ext>
          </c:extLst>
        </c:ser>
        <c:ser>
          <c:idx val="5"/>
          <c:order val="5"/>
          <c:tx>
            <c:strRef>
              <c:f>Problem3!$O$31</c:f>
              <c:strCache>
                <c:ptCount val="1"/>
                <c:pt idx="0">
                  <c:v>Short 25x digital call-130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Problem3!$O$32:$O$172</c:f>
              <c:numCache>
                <c:formatCode>#,##0.00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8E-49E5-8C76-757C8D1774DB}"/>
            </c:ext>
          </c:extLst>
        </c:ser>
        <c:ser>
          <c:idx val="6"/>
          <c:order val="6"/>
          <c:tx>
            <c:strRef>
              <c:f>Problem3!$P$31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FF0000">
                  <a:alpha val="8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Problem3!$I$32:$I$172</c:f>
              <c:numCache>
                <c:formatCode>#,##0.00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79.98</c:v>
                </c:pt>
                <c:pt idx="9">
                  <c:v>79.989999999999995</c:v>
                </c:pt>
                <c:pt idx="10">
                  <c:v>80</c:v>
                </c:pt>
                <c:pt idx="11">
                  <c:v>80.010000000000005</c:v>
                </c:pt>
                <c:pt idx="12">
                  <c:v>80.02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129.97999999999999</c:v>
                </c:pt>
                <c:pt idx="59">
                  <c:v>129.99</c:v>
                </c:pt>
                <c:pt idx="60">
                  <c:v>130</c:v>
                </c:pt>
                <c:pt idx="61">
                  <c:v>130.01</c:v>
                </c:pt>
                <c:pt idx="62">
                  <c:v>130.02000000000001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</c:numCache>
            </c:numRef>
          </c:xVal>
          <c:yVal>
            <c:numRef>
              <c:f>Problem3!$P$32:$P$172</c:f>
              <c:numCache>
                <c:formatCode>#,##0.00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24.989999999999995</c:v>
                </c:pt>
                <c:pt idx="12">
                  <c:v>24.980000000000004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24.97999999999999</c:v>
                </c:pt>
                <c:pt idx="59">
                  <c:v>24.990000000000009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8E-49E5-8C76-757C8D177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6304"/>
        <c:axId val="162917744"/>
      </c:scatterChart>
      <c:valAx>
        <c:axId val="162916304"/>
        <c:scaling>
          <c:orientation val="minMax"/>
          <c:max val="14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744"/>
        <c:crosses val="autoZero"/>
        <c:crossBetween val="midCat"/>
      </c:valAx>
      <c:valAx>
        <c:axId val="162917744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Problem6!$H$51</c:f>
              <c:strCache>
                <c:ptCount val="1"/>
                <c:pt idx="0">
                  <c:v>Risk-free cash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Problem6!$G$52:$G$92</c:f>
              <c:numCache>
                <c:formatCode>General</c:formatCode>
                <c:ptCount val="41"/>
                <c:pt idx="0">
                  <c:v>4500</c:v>
                </c:pt>
                <c:pt idx="1">
                  <c:v>4525</c:v>
                </c:pt>
                <c:pt idx="2">
                  <c:v>4550</c:v>
                </c:pt>
                <c:pt idx="3">
                  <c:v>4575</c:v>
                </c:pt>
                <c:pt idx="4">
                  <c:v>4600</c:v>
                </c:pt>
                <c:pt idx="5">
                  <c:v>4625</c:v>
                </c:pt>
                <c:pt idx="6">
                  <c:v>4650</c:v>
                </c:pt>
                <c:pt idx="7">
                  <c:v>4675</c:v>
                </c:pt>
                <c:pt idx="8">
                  <c:v>4700</c:v>
                </c:pt>
                <c:pt idx="9">
                  <c:v>4725</c:v>
                </c:pt>
                <c:pt idx="10">
                  <c:v>4750</c:v>
                </c:pt>
                <c:pt idx="11">
                  <c:v>4775</c:v>
                </c:pt>
                <c:pt idx="12">
                  <c:v>4800</c:v>
                </c:pt>
                <c:pt idx="13">
                  <c:v>4825</c:v>
                </c:pt>
                <c:pt idx="14">
                  <c:v>4850</c:v>
                </c:pt>
                <c:pt idx="15">
                  <c:v>4875</c:v>
                </c:pt>
                <c:pt idx="16">
                  <c:v>4900</c:v>
                </c:pt>
                <c:pt idx="17">
                  <c:v>4925</c:v>
                </c:pt>
                <c:pt idx="18">
                  <c:v>4950</c:v>
                </c:pt>
                <c:pt idx="19">
                  <c:v>4975</c:v>
                </c:pt>
                <c:pt idx="20">
                  <c:v>5000</c:v>
                </c:pt>
                <c:pt idx="21">
                  <c:v>5025</c:v>
                </c:pt>
                <c:pt idx="22">
                  <c:v>5050</c:v>
                </c:pt>
                <c:pt idx="23">
                  <c:v>5075</c:v>
                </c:pt>
                <c:pt idx="24">
                  <c:v>5100</c:v>
                </c:pt>
                <c:pt idx="25">
                  <c:v>5125</c:v>
                </c:pt>
                <c:pt idx="26">
                  <c:v>5150</c:v>
                </c:pt>
                <c:pt idx="27">
                  <c:v>5175</c:v>
                </c:pt>
                <c:pt idx="28">
                  <c:v>5200</c:v>
                </c:pt>
                <c:pt idx="29">
                  <c:v>5225</c:v>
                </c:pt>
                <c:pt idx="30">
                  <c:v>5250</c:v>
                </c:pt>
                <c:pt idx="31">
                  <c:v>5275</c:v>
                </c:pt>
                <c:pt idx="32">
                  <c:v>5300</c:v>
                </c:pt>
                <c:pt idx="33">
                  <c:v>5325</c:v>
                </c:pt>
                <c:pt idx="34">
                  <c:v>5350</c:v>
                </c:pt>
                <c:pt idx="35">
                  <c:v>5375</c:v>
                </c:pt>
                <c:pt idx="36">
                  <c:v>5400</c:v>
                </c:pt>
                <c:pt idx="37">
                  <c:v>5425</c:v>
                </c:pt>
                <c:pt idx="38">
                  <c:v>5450</c:v>
                </c:pt>
                <c:pt idx="39">
                  <c:v>5475</c:v>
                </c:pt>
                <c:pt idx="40">
                  <c:v>5500</c:v>
                </c:pt>
              </c:numCache>
            </c:numRef>
          </c:xVal>
          <c:yVal>
            <c:numRef>
              <c:f>Problem6!$H$52:$H$92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A-43F4-93C3-8ED5EF0A9C19}"/>
            </c:ext>
          </c:extLst>
        </c:ser>
        <c:ser>
          <c:idx val="1"/>
          <c:order val="1"/>
          <c:tx>
            <c:strRef>
              <c:f>Problem6!$I$51</c:f>
              <c:strCache>
                <c:ptCount val="1"/>
                <c:pt idx="0">
                  <c:v>Long Calls-5200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Problem6!$G$52:$G$92</c:f>
              <c:numCache>
                <c:formatCode>General</c:formatCode>
                <c:ptCount val="41"/>
                <c:pt idx="0">
                  <c:v>4500</c:v>
                </c:pt>
                <c:pt idx="1">
                  <c:v>4525</c:v>
                </c:pt>
                <c:pt idx="2">
                  <c:v>4550</c:v>
                </c:pt>
                <c:pt idx="3">
                  <c:v>4575</c:v>
                </c:pt>
                <c:pt idx="4">
                  <c:v>4600</c:v>
                </c:pt>
                <c:pt idx="5">
                  <c:v>4625</c:v>
                </c:pt>
                <c:pt idx="6">
                  <c:v>4650</c:v>
                </c:pt>
                <c:pt idx="7">
                  <c:v>4675</c:v>
                </c:pt>
                <c:pt idx="8">
                  <c:v>4700</c:v>
                </c:pt>
                <c:pt idx="9">
                  <c:v>4725</c:v>
                </c:pt>
                <c:pt idx="10">
                  <c:v>4750</c:v>
                </c:pt>
                <c:pt idx="11">
                  <c:v>4775</c:v>
                </c:pt>
                <c:pt idx="12">
                  <c:v>4800</c:v>
                </c:pt>
                <c:pt idx="13">
                  <c:v>4825</c:v>
                </c:pt>
                <c:pt idx="14">
                  <c:v>4850</c:v>
                </c:pt>
                <c:pt idx="15">
                  <c:v>4875</c:v>
                </c:pt>
                <c:pt idx="16">
                  <c:v>4900</c:v>
                </c:pt>
                <c:pt idx="17">
                  <c:v>4925</c:v>
                </c:pt>
                <c:pt idx="18">
                  <c:v>4950</c:v>
                </c:pt>
                <c:pt idx="19">
                  <c:v>4975</c:v>
                </c:pt>
                <c:pt idx="20">
                  <c:v>5000</c:v>
                </c:pt>
                <c:pt idx="21">
                  <c:v>5025</c:v>
                </c:pt>
                <c:pt idx="22">
                  <c:v>5050</c:v>
                </c:pt>
                <c:pt idx="23">
                  <c:v>5075</c:v>
                </c:pt>
                <c:pt idx="24">
                  <c:v>5100</c:v>
                </c:pt>
                <c:pt idx="25">
                  <c:v>5125</c:v>
                </c:pt>
                <c:pt idx="26">
                  <c:v>5150</c:v>
                </c:pt>
                <c:pt idx="27">
                  <c:v>5175</c:v>
                </c:pt>
                <c:pt idx="28">
                  <c:v>5200</c:v>
                </c:pt>
                <c:pt idx="29">
                  <c:v>5225</c:v>
                </c:pt>
                <c:pt idx="30">
                  <c:v>5250</c:v>
                </c:pt>
                <c:pt idx="31">
                  <c:v>5275</c:v>
                </c:pt>
                <c:pt idx="32">
                  <c:v>5300</c:v>
                </c:pt>
                <c:pt idx="33">
                  <c:v>5325</c:v>
                </c:pt>
                <c:pt idx="34">
                  <c:v>5350</c:v>
                </c:pt>
                <c:pt idx="35">
                  <c:v>5375</c:v>
                </c:pt>
                <c:pt idx="36">
                  <c:v>5400</c:v>
                </c:pt>
                <c:pt idx="37">
                  <c:v>5425</c:v>
                </c:pt>
                <c:pt idx="38">
                  <c:v>5450</c:v>
                </c:pt>
                <c:pt idx="39">
                  <c:v>5475</c:v>
                </c:pt>
                <c:pt idx="40">
                  <c:v>5500</c:v>
                </c:pt>
              </c:numCache>
            </c:numRef>
          </c:xVal>
          <c:yVal>
            <c:numRef>
              <c:f>Problem6!$I$52:$I$92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5500</c:v>
                </c:pt>
                <c:pt idx="40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A-43F4-93C3-8ED5EF0A9C19}"/>
            </c:ext>
          </c:extLst>
        </c:ser>
        <c:ser>
          <c:idx val="2"/>
          <c:order val="2"/>
          <c:tx>
            <c:strRef>
              <c:f>Problem6!$J$51</c:f>
              <c:strCache>
                <c:ptCount val="1"/>
                <c:pt idx="0">
                  <c:v>Short Puts-5000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Problem6!$G$52:$G$92</c:f>
              <c:numCache>
                <c:formatCode>General</c:formatCode>
                <c:ptCount val="41"/>
                <c:pt idx="0">
                  <c:v>4500</c:v>
                </c:pt>
                <c:pt idx="1">
                  <c:v>4525</c:v>
                </c:pt>
                <c:pt idx="2">
                  <c:v>4550</c:v>
                </c:pt>
                <c:pt idx="3">
                  <c:v>4575</c:v>
                </c:pt>
                <c:pt idx="4">
                  <c:v>4600</c:v>
                </c:pt>
                <c:pt idx="5">
                  <c:v>4625</c:v>
                </c:pt>
                <c:pt idx="6">
                  <c:v>4650</c:v>
                </c:pt>
                <c:pt idx="7">
                  <c:v>4675</c:v>
                </c:pt>
                <c:pt idx="8">
                  <c:v>4700</c:v>
                </c:pt>
                <c:pt idx="9">
                  <c:v>4725</c:v>
                </c:pt>
                <c:pt idx="10">
                  <c:v>4750</c:v>
                </c:pt>
                <c:pt idx="11">
                  <c:v>4775</c:v>
                </c:pt>
                <c:pt idx="12">
                  <c:v>4800</c:v>
                </c:pt>
                <c:pt idx="13">
                  <c:v>4825</c:v>
                </c:pt>
                <c:pt idx="14">
                  <c:v>4850</c:v>
                </c:pt>
                <c:pt idx="15">
                  <c:v>4875</c:v>
                </c:pt>
                <c:pt idx="16">
                  <c:v>4900</c:v>
                </c:pt>
                <c:pt idx="17">
                  <c:v>4925</c:v>
                </c:pt>
                <c:pt idx="18">
                  <c:v>4950</c:v>
                </c:pt>
                <c:pt idx="19">
                  <c:v>4975</c:v>
                </c:pt>
                <c:pt idx="20">
                  <c:v>5000</c:v>
                </c:pt>
                <c:pt idx="21">
                  <c:v>5025</c:v>
                </c:pt>
                <c:pt idx="22">
                  <c:v>5050</c:v>
                </c:pt>
                <c:pt idx="23">
                  <c:v>5075</c:v>
                </c:pt>
                <c:pt idx="24">
                  <c:v>5100</c:v>
                </c:pt>
                <c:pt idx="25">
                  <c:v>5125</c:v>
                </c:pt>
                <c:pt idx="26">
                  <c:v>5150</c:v>
                </c:pt>
                <c:pt idx="27">
                  <c:v>5175</c:v>
                </c:pt>
                <c:pt idx="28">
                  <c:v>5200</c:v>
                </c:pt>
                <c:pt idx="29">
                  <c:v>5225</c:v>
                </c:pt>
                <c:pt idx="30">
                  <c:v>5250</c:v>
                </c:pt>
                <c:pt idx="31">
                  <c:v>5275</c:v>
                </c:pt>
                <c:pt idx="32">
                  <c:v>5300</c:v>
                </c:pt>
                <c:pt idx="33">
                  <c:v>5325</c:v>
                </c:pt>
                <c:pt idx="34">
                  <c:v>5350</c:v>
                </c:pt>
                <c:pt idx="35">
                  <c:v>5375</c:v>
                </c:pt>
                <c:pt idx="36">
                  <c:v>5400</c:v>
                </c:pt>
                <c:pt idx="37">
                  <c:v>5425</c:v>
                </c:pt>
                <c:pt idx="38">
                  <c:v>5450</c:v>
                </c:pt>
                <c:pt idx="39">
                  <c:v>5475</c:v>
                </c:pt>
                <c:pt idx="40">
                  <c:v>5500</c:v>
                </c:pt>
              </c:numCache>
            </c:numRef>
          </c:xVal>
          <c:yVal>
            <c:numRef>
              <c:f>Problem6!$J$52:$J$92</c:f>
              <c:numCache>
                <c:formatCode>#,##0</c:formatCode>
                <c:ptCount val="41"/>
                <c:pt idx="0">
                  <c:v>-3982.9747854340321</c:v>
                </c:pt>
                <c:pt idx="1">
                  <c:v>-3783.8260461623304</c:v>
                </c:pt>
                <c:pt idx="2">
                  <c:v>-3584.6773068906286</c:v>
                </c:pt>
                <c:pt idx="3">
                  <c:v>-3385.5285676189274</c:v>
                </c:pt>
                <c:pt idx="4">
                  <c:v>-3186.3798283472256</c:v>
                </c:pt>
                <c:pt idx="5">
                  <c:v>-2987.2310890755239</c:v>
                </c:pt>
                <c:pt idx="6">
                  <c:v>-2788.0823498038226</c:v>
                </c:pt>
                <c:pt idx="7">
                  <c:v>-2588.9336105321208</c:v>
                </c:pt>
                <c:pt idx="8">
                  <c:v>-2389.7848712604191</c:v>
                </c:pt>
                <c:pt idx="9">
                  <c:v>-2190.6361319887178</c:v>
                </c:pt>
                <c:pt idx="10">
                  <c:v>-1991.4873927170161</c:v>
                </c:pt>
                <c:pt idx="11">
                  <c:v>-1792.3386534453143</c:v>
                </c:pt>
                <c:pt idx="12">
                  <c:v>-1593.1899141736128</c:v>
                </c:pt>
                <c:pt idx="13">
                  <c:v>-1394.0411749019113</c:v>
                </c:pt>
                <c:pt idx="14">
                  <c:v>-1194.8924356302095</c:v>
                </c:pt>
                <c:pt idx="15">
                  <c:v>-995.74369635850803</c:v>
                </c:pt>
                <c:pt idx="16">
                  <c:v>-796.5949570868064</c:v>
                </c:pt>
                <c:pt idx="17">
                  <c:v>-597.44621781510477</c:v>
                </c:pt>
                <c:pt idx="18">
                  <c:v>-398.2974785434032</c:v>
                </c:pt>
                <c:pt idx="19">
                  <c:v>-199.1487392717016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A-43F4-93C3-8ED5EF0A9C19}"/>
            </c:ext>
          </c:extLst>
        </c:ser>
        <c:ser>
          <c:idx val="3"/>
          <c:order val="3"/>
          <c:tx>
            <c:strRef>
              <c:f>Problem6!$K$51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Problem6!$G$52:$G$92</c:f>
              <c:numCache>
                <c:formatCode>General</c:formatCode>
                <c:ptCount val="41"/>
                <c:pt idx="0">
                  <c:v>4500</c:v>
                </c:pt>
                <c:pt idx="1">
                  <c:v>4525</c:v>
                </c:pt>
                <c:pt idx="2">
                  <c:v>4550</c:v>
                </c:pt>
                <c:pt idx="3">
                  <c:v>4575</c:v>
                </c:pt>
                <c:pt idx="4">
                  <c:v>4600</c:v>
                </c:pt>
                <c:pt idx="5">
                  <c:v>4625</c:v>
                </c:pt>
                <c:pt idx="6">
                  <c:v>4650</c:v>
                </c:pt>
                <c:pt idx="7">
                  <c:v>4675</c:v>
                </c:pt>
                <c:pt idx="8">
                  <c:v>4700</c:v>
                </c:pt>
                <c:pt idx="9">
                  <c:v>4725</c:v>
                </c:pt>
                <c:pt idx="10">
                  <c:v>4750</c:v>
                </c:pt>
                <c:pt idx="11">
                  <c:v>4775</c:v>
                </c:pt>
                <c:pt idx="12">
                  <c:v>4800</c:v>
                </c:pt>
                <c:pt idx="13">
                  <c:v>4825</c:v>
                </c:pt>
                <c:pt idx="14">
                  <c:v>4850</c:v>
                </c:pt>
                <c:pt idx="15">
                  <c:v>4875</c:v>
                </c:pt>
                <c:pt idx="16">
                  <c:v>4900</c:v>
                </c:pt>
                <c:pt idx="17">
                  <c:v>4925</c:v>
                </c:pt>
                <c:pt idx="18">
                  <c:v>4950</c:v>
                </c:pt>
                <c:pt idx="19">
                  <c:v>4975</c:v>
                </c:pt>
                <c:pt idx="20">
                  <c:v>5000</c:v>
                </c:pt>
                <c:pt idx="21">
                  <c:v>5025</c:v>
                </c:pt>
                <c:pt idx="22">
                  <c:v>5050</c:v>
                </c:pt>
                <c:pt idx="23">
                  <c:v>5075</c:v>
                </c:pt>
                <c:pt idx="24">
                  <c:v>5100</c:v>
                </c:pt>
                <c:pt idx="25">
                  <c:v>5125</c:v>
                </c:pt>
                <c:pt idx="26">
                  <c:v>5150</c:v>
                </c:pt>
                <c:pt idx="27">
                  <c:v>5175</c:v>
                </c:pt>
                <c:pt idx="28">
                  <c:v>5200</c:v>
                </c:pt>
                <c:pt idx="29">
                  <c:v>5225</c:v>
                </c:pt>
                <c:pt idx="30">
                  <c:v>5250</c:v>
                </c:pt>
                <c:pt idx="31">
                  <c:v>5275</c:v>
                </c:pt>
                <c:pt idx="32">
                  <c:v>5300</c:v>
                </c:pt>
                <c:pt idx="33">
                  <c:v>5325</c:v>
                </c:pt>
                <c:pt idx="34">
                  <c:v>5350</c:v>
                </c:pt>
                <c:pt idx="35">
                  <c:v>5375</c:v>
                </c:pt>
                <c:pt idx="36">
                  <c:v>5400</c:v>
                </c:pt>
                <c:pt idx="37">
                  <c:v>5425</c:v>
                </c:pt>
                <c:pt idx="38">
                  <c:v>5450</c:v>
                </c:pt>
                <c:pt idx="39">
                  <c:v>5475</c:v>
                </c:pt>
                <c:pt idx="40">
                  <c:v>5500</c:v>
                </c:pt>
              </c:numCache>
            </c:numRef>
          </c:xVal>
          <c:yVal>
            <c:numRef>
              <c:f>Problem6!$K$52:$K$92</c:f>
              <c:numCache>
                <c:formatCode>#,##0</c:formatCode>
                <c:ptCount val="41"/>
                <c:pt idx="0">
                  <c:v>-3982.9747854340321</c:v>
                </c:pt>
                <c:pt idx="1">
                  <c:v>-3783.8260461623304</c:v>
                </c:pt>
                <c:pt idx="2">
                  <c:v>-3584.6773068906286</c:v>
                </c:pt>
                <c:pt idx="3">
                  <c:v>-3385.5285676189274</c:v>
                </c:pt>
                <c:pt idx="4">
                  <c:v>-3186.3798283472256</c:v>
                </c:pt>
                <c:pt idx="5">
                  <c:v>-2987.2310890755239</c:v>
                </c:pt>
                <c:pt idx="6">
                  <c:v>-2788.0823498038226</c:v>
                </c:pt>
                <c:pt idx="7">
                  <c:v>-2588.9336105321208</c:v>
                </c:pt>
                <c:pt idx="8">
                  <c:v>-2389.7848712604191</c:v>
                </c:pt>
                <c:pt idx="9">
                  <c:v>-2190.6361319887178</c:v>
                </c:pt>
                <c:pt idx="10">
                  <c:v>-1991.4873927170161</c:v>
                </c:pt>
                <c:pt idx="11">
                  <c:v>-1792.3386534453143</c:v>
                </c:pt>
                <c:pt idx="12">
                  <c:v>-1593.1899141736128</c:v>
                </c:pt>
                <c:pt idx="13">
                  <c:v>-1394.0411749019113</c:v>
                </c:pt>
                <c:pt idx="14">
                  <c:v>-1194.8924356302095</c:v>
                </c:pt>
                <c:pt idx="15">
                  <c:v>-995.74369635850803</c:v>
                </c:pt>
                <c:pt idx="16">
                  <c:v>-796.5949570868064</c:v>
                </c:pt>
                <c:pt idx="17">
                  <c:v>-597.44621781510477</c:v>
                </c:pt>
                <c:pt idx="18">
                  <c:v>-398.2974785434032</c:v>
                </c:pt>
                <c:pt idx="19">
                  <c:v>-199.1487392717016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5500</c:v>
                </c:pt>
                <c:pt idx="40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A-43F4-93C3-8ED5EF0A9C19}"/>
            </c:ext>
          </c:extLst>
        </c:ser>
        <c:ser>
          <c:idx val="4"/>
          <c:order val="4"/>
          <c:tx>
            <c:strRef>
              <c:f>Problem6!$L$51</c:f>
              <c:strCache>
                <c:ptCount val="1"/>
                <c:pt idx="0">
                  <c:v>Plain SP500 investment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Problem6!$G$52:$G$92</c:f>
              <c:numCache>
                <c:formatCode>General</c:formatCode>
                <c:ptCount val="41"/>
                <c:pt idx="0">
                  <c:v>4500</c:v>
                </c:pt>
                <c:pt idx="1">
                  <c:v>4525</c:v>
                </c:pt>
                <c:pt idx="2">
                  <c:v>4550</c:v>
                </c:pt>
                <c:pt idx="3">
                  <c:v>4575</c:v>
                </c:pt>
                <c:pt idx="4">
                  <c:v>4600</c:v>
                </c:pt>
                <c:pt idx="5">
                  <c:v>4625</c:v>
                </c:pt>
                <c:pt idx="6">
                  <c:v>4650</c:v>
                </c:pt>
                <c:pt idx="7">
                  <c:v>4675</c:v>
                </c:pt>
                <c:pt idx="8">
                  <c:v>4700</c:v>
                </c:pt>
                <c:pt idx="9">
                  <c:v>4725</c:v>
                </c:pt>
                <c:pt idx="10">
                  <c:v>4750</c:v>
                </c:pt>
                <c:pt idx="11">
                  <c:v>4775</c:v>
                </c:pt>
                <c:pt idx="12">
                  <c:v>4800</c:v>
                </c:pt>
                <c:pt idx="13">
                  <c:v>4825</c:v>
                </c:pt>
                <c:pt idx="14">
                  <c:v>4850</c:v>
                </c:pt>
                <c:pt idx="15">
                  <c:v>4875</c:v>
                </c:pt>
                <c:pt idx="16">
                  <c:v>4900</c:v>
                </c:pt>
                <c:pt idx="17">
                  <c:v>4925</c:v>
                </c:pt>
                <c:pt idx="18">
                  <c:v>4950</c:v>
                </c:pt>
                <c:pt idx="19">
                  <c:v>4975</c:v>
                </c:pt>
                <c:pt idx="20">
                  <c:v>5000</c:v>
                </c:pt>
                <c:pt idx="21">
                  <c:v>5025</c:v>
                </c:pt>
                <c:pt idx="22">
                  <c:v>5050</c:v>
                </c:pt>
                <c:pt idx="23">
                  <c:v>5075</c:v>
                </c:pt>
                <c:pt idx="24">
                  <c:v>5100</c:v>
                </c:pt>
                <c:pt idx="25">
                  <c:v>5125</c:v>
                </c:pt>
                <c:pt idx="26">
                  <c:v>5150</c:v>
                </c:pt>
                <c:pt idx="27">
                  <c:v>5175</c:v>
                </c:pt>
                <c:pt idx="28">
                  <c:v>5200</c:v>
                </c:pt>
                <c:pt idx="29">
                  <c:v>5225</c:v>
                </c:pt>
                <c:pt idx="30">
                  <c:v>5250</c:v>
                </c:pt>
                <c:pt idx="31">
                  <c:v>5275</c:v>
                </c:pt>
                <c:pt idx="32">
                  <c:v>5300</c:v>
                </c:pt>
                <c:pt idx="33">
                  <c:v>5325</c:v>
                </c:pt>
                <c:pt idx="34">
                  <c:v>5350</c:v>
                </c:pt>
                <c:pt idx="35">
                  <c:v>5375</c:v>
                </c:pt>
                <c:pt idx="36">
                  <c:v>5400</c:v>
                </c:pt>
                <c:pt idx="37">
                  <c:v>5425</c:v>
                </c:pt>
                <c:pt idx="38">
                  <c:v>5450</c:v>
                </c:pt>
                <c:pt idx="39">
                  <c:v>5475</c:v>
                </c:pt>
                <c:pt idx="40">
                  <c:v>5500</c:v>
                </c:pt>
              </c:numCache>
            </c:numRef>
          </c:xVal>
          <c:yVal>
            <c:numRef>
              <c:f>Problem6!$L$52:$L$92</c:f>
              <c:numCache>
                <c:formatCode>#,##0</c:formatCode>
                <c:ptCount val="41"/>
                <c:pt idx="0">
                  <c:v>-10000</c:v>
                </c:pt>
                <c:pt idx="1">
                  <c:v>-9500</c:v>
                </c:pt>
                <c:pt idx="2">
                  <c:v>-9000</c:v>
                </c:pt>
                <c:pt idx="3">
                  <c:v>-8500</c:v>
                </c:pt>
                <c:pt idx="4">
                  <c:v>-8000</c:v>
                </c:pt>
                <c:pt idx="5">
                  <c:v>-7500</c:v>
                </c:pt>
                <c:pt idx="6">
                  <c:v>-7000</c:v>
                </c:pt>
                <c:pt idx="7">
                  <c:v>-6500</c:v>
                </c:pt>
                <c:pt idx="8">
                  <c:v>-6000</c:v>
                </c:pt>
                <c:pt idx="9">
                  <c:v>-5500</c:v>
                </c:pt>
                <c:pt idx="10">
                  <c:v>-5000</c:v>
                </c:pt>
                <c:pt idx="11">
                  <c:v>-4500</c:v>
                </c:pt>
                <c:pt idx="12">
                  <c:v>-4000</c:v>
                </c:pt>
                <c:pt idx="13">
                  <c:v>-3500</c:v>
                </c:pt>
                <c:pt idx="14">
                  <c:v>-3000</c:v>
                </c:pt>
                <c:pt idx="15">
                  <c:v>-2500</c:v>
                </c:pt>
                <c:pt idx="16">
                  <c:v>-2000</c:v>
                </c:pt>
                <c:pt idx="17">
                  <c:v>-1500</c:v>
                </c:pt>
                <c:pt idx="18">
                  <c:v>-1000</c:v>
                </c:pt>
                <c:pt idx="19">
                  <c:v>-500</c:v>
                </c:pt>
                <c:pt idx="20">
                  <c:v>0</c:v>
                </c:pt>
                <c:pt idx="21">
                  <c:v>500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3500</c:v>
                </c:pt>
                <c:pt idx="28">
                  <c:v>4000</c:v>
                </c:pt>
                <c:pt idx="29">
                  <c:v>4500</c:v>
                </c:pt>
                <c:pt idx="30">
                  <c:v>5000</c:v>
                </c:pt>
                <c:pt idx="31">
                  <c:v>5500</c:v>
                </c:pt>
                <c:pt idx="32">
                  <c:v>6000</c:v>
                </c:pt>
                <c:pt idx="33">
                  <c:v>6500</c:v>
                </c:pt>
                <c:pt idx="34">
                  <c:v>7000</c:v>
                </c:pt>
                <c:pt idx="35">
                  <c:v>7500</c:v>
                </c:pt>
                <c:pt idx="36">
                  <c:v>8000</c:v>
                </c:pt>
                <c:pt idx="37">
                  <c:v>8500</c:v>
                </c:pt>
                <c:pt idx="38">
                  <c:v>9000</c:v>
                </c:pt>
                <c:pt idx="39">
                  <c:v>9500</c:v>
                </c:pt>
                <c:pt idx="4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A-43F4-93C3-8ED5EF0A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5856"/>
        <c:axId val="156434416"/>
      </c:scatterChart>
      <c:valAx>
        <c:axId val="156435856"/>
        <c:scaling>
          <c:orientation val="minMax"/>
          <c:max val="5500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4416"/>
        <c:crosses val="autoZero"/>
        <c:crossBetween val="midCat"/>
      </c:valAx>
      <c:valAx>
        <c:axId val="15643441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17</xdr:row>
      <xdr:rowOff>190500</xdr:rowOff>
    </xdr:from>
    <xdr:to>
      <xdr:col>3</xdr:col>
      <xdr:colOff>9525</xdr:colOff>
      <xdr:row>19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19AFCC0-F450-44BB-8892-3C0CFB4D87EE}"/>
            </a:ext>
          </a:extLst>
        </xdr:cNvPr>
        <xdr:cNvCxnSpPr/>
      </xdr:nvCxnSpPr>
      <xdr:spPr>
        <a:xfrm flipV="1">
          <a:off x="1200150" y="3322320"/>
          <a:ext cx="63817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19</xdr:row>
      <xdr:rowOff>133350</xdr:rowOff>
    </xdr:from>
    <xdr:to>
      <xdr:col>2</xdr:col>
      <xdr:colOff>581025</xdr:colOff>
      <xdr:row>22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9A8B37-D0AC-4CF1-B30D-3A14BC0EE6F5}"/>
            </a:ext>
          </a:extLst>
        </xdr:cNvPr>
        <xdr:cNvCxnSpPr/>
      </xdr:nvCxnSpPr>
      <xdr:spPr>
        <a:xfrm>
          <a:off x="1209675" y="3646170"/>
          <a:ext cx="590550" cy="440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3</xdr:col>
      <xdr:colOff>411480</xdr:colOff>
      <xdr:row>15</xdr:row>
      <xdr:rowOff>67951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DCB89-6F09-1AE0-80A2-78609C869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2415540" cy="982351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31</xdr:row>
      <xdr:rowOff>140970</xdr:rowOff>
    </xdr:from>
    <xdr:to>
      <xdr:col>15</xdr:col>
      <xdr:colOff>213360</xdr:colOff>
      <xdr:row>52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9888D-4643-8F82-60D1-A399E671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25</xdr:row>
      <xdr:rowOff>99060</xdr:rowOff>
    </xdr:from>
    <xdr:to>
      <xdr:col>3</xdr:col>
      <xdr:colOff>0</xdr:colOff>
      <xdr:row>27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01E0D6F-7656-48AB-88AB-D3E8A705E38E}"/>
            </a:ext>
          </a:extLst>
        </xdr:cNvPr>
        <xdr:cNvCxnSpPr/>
      </xdr:nvCxnSpPr>
      <xdr:spPr>
        <a:xfrm flipV="1">
          <a:off x="1226820" y="5433060"/>
          <a:ext cx="60198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586740</xdr:colOff>
      <xdr:row>27</xdr:row>
      <xdr:rowOff>121920</xdr:rowOff>
    </xdr:from>
    <xdr:to>
      <xdr:col>3</xdr:col>
      <xdr:colOff>15240</xdr:colOff>
      <xdr:row>29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BFDD726-E3F5-43C3-A6A1-0E9C344C9099}"/>
            </a:ext>
          </a:extLst>
        </xdr:cNvPr>
        <xdr:cNvCxnSpPr/>
      </xdr:nvCxnSpPr>
      <xdr:spPr>
        <a:xfrm>
          <a:off x="1196340" y="5836920"/>
          <a:ext cx="6477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91440</xdr:rowOff>
    </xdr:from>
    <xdr:to>
      <xdr:col>6</xdr:col>
      <xdr:colOff>15240</xdr:colOff>
      <xdr:row>25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E07C789-4E37-48D2-9BA3-1BE7AFAF1231}"/>
            </a:ext>
          </a:extLst>
        </xdr:cNvPr>
        <xdr:cNvCxnSpPr/>
      </xdr:nvCxnSpPr>
      <xdr:spPr>
        <a:xfrm flipV="1">
          <a:off x="3048000" y="5052060"/>
          <a:ext cx="624840" cy="413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91440</xdr:rowOff>
    </xdr:from>
    <xdr:to>
      <xdr:col>9</xdr:col>
      <xdr:colOff>22860</xdr:colOff>
      <xdr:row>23</xdr:row>
      <xdr:rowOff>121920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5E7127-67B0-4BC8-9A1D-C4F5F9228FD4}"/>
            </a:ext>
          </a:extLst>
        </xdr:cNvPr>
        <xdr:cNvCxnSpPr/>
      </xdr:nvCxnSpPr>
      <xdr:spPr>
        <a:xfrm flipV="1">
          <a:off x="4892040" y="4671060"/>
          <a:ext cx="6324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25</xdr:row>
      <xdr:rowOff>85725</xdr:rowOff>
    </xdr:from>
    <xdr:to>
      <xdr:col>8</xdr:col>
      <xdr:colOff>600075</xdr:colOff>
      <xdr:row>27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D55F137-48BC-40CD-A113-F7464B126165}"/>
            </a:ext>
          </a:extLst>
        </xdr:cNvPr>
        <xdr:cNvCxnSpPr/>
      </xdr:nvCxnSpPr>
      <xdr:spPr>
        <a:xfrm flipV="1">
          <a:off x="4914900" y="5427345"/>
          <a:ext cx="577215" cy="394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29</xdr:row>
      <xdr:rowOff>95250</xdr:rowOff>
    </xdr:from>
    <xdr:to>
      <xdr:col>8</xdr:col>
      <xdr:colOff>600075</xdr:colOff>
      <xdr:row>31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8570D9-870F-418D-845A-4D8C048079EF}"/>
            </a:ext>
          </a:extLst>
        </xdr:cNvPr>
        <xdr:cNvCxnSpPr/>
      </xdr:nvCxnSpPr>
      <xdr:spPr>
        <a:xfrm flipV="1">
          <a:off x="4914900" y="6198870"/>
          <a:ext cx="577215" cy="392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27</xdr:row>
      <xdr:rowOff>76200</xdr:rowOff>
    </xdr:from>
    <xdr:to>
      <xdr:col>6</xdr:col>
      <xdr:colOff>38100</xdr:colOff>
      <xdr:row>29</xdr:row>
      <xdr:rowOff>121920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B0C13D-3DE2-4DC6-B821-3EE0873D6B92}"/>
            </a:ext>
          </a:extLst>
        </xdr:cNvPr>
        <xdr:cNvCxnSpPr/>
      </xdr:nvCxnSpPr>
      <xdr:spPr>
        <a:xfrm flipV="1">
          <a:off x="3040380" y="5798820"/>
          <a:ext cx="655320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25</xdr:row>
      <xdr:rowOff>152400</xdr:rowOff>
    </xdr:from>
    <xdr:to>
      <xdr:col>6</xdr:col>
      <xdr:colOff>38100</xdr:colOff>
      <xdr:row>27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DE0ABB9-F1FA-4A22-8737-FD55B87D1373}"/>
            </a:ext>
          </a:extLst>
        </xdr:cNvPr>
        <xdr:cNvCxnSpPr/>
      </xdr:nvCxnSpPr>
      <xdr:spPr>
        <a:xfrm>
          <a:off x="3028950" y="5494020"/>
          <a:ext cx="66675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29</xdr:row>
      <xdr:rowOff>121920</xdr:rowOff>
    </xdr:from>
    <xdr:to>
      <xdr:col>6</xdr:col>
      <xdr:colOff>7620</xdr:colOff>
      <xdr:row>31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FC03239-2D28-4E64-9140-F155CF877A9A}"/>
            </a:ext>
          </a:extLst>
        </xdr:cNvPr>
        <xdr:cNvCxnSpPr/>
      </xdr:nvCxnSpPr>
      <xdr:spPr>
        <a:xfrm>
          <a:off x="3032760" y="6225540"/>
          <a:ext cx="632460" cy="373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144780</xdr:rowOff>
    </xdr:from>
    <xdr:to>
      <xdr:col>9</xdr:col>
      <xdr:colOff>22860</xdr:colOff>
      <xdr:row>33</xdr:row>
      <xdr:rowOff>83820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3BBFE5-C3B1-4840-B7B8-057A08437C8A}"/>
            </a:ext>
          </a:extLst>
        </xdr:cNvPr>
        <xdr:cNvCxnSpPr/>
      </xdr:nvCxnSpPr>
      <xdr:spPr>
        <a:xfrm>
          <a:off x="4892040" y="6629400"/>
          <a:ext cx="63246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617220</xdr:colOff>
      <xdr:row>27</xdr:row>
      <xdr:rowOff>121920</xdr:rowOff>
    </xdr:from>
    <xdr:to>
      <xdr:col>9</xdr:col>
      <xdr:colOff>0</xdr:colOff>
      <xdr:row>29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3113E31-EF07-413A-8A93-A6B6D87516E9}"/>
            </a:ext>
          </a:extLst>
        </xdr:cNvPr>
        <xdr:cNvCxnSpPr/>
      </xdr:nvCxnSpPr>
      <xdr:spPr>
        <a:xfrm>
          <a:off x="4884420" y="5844540"/>
          <a:ext cx="61722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99060</xdr:rowOff>
    </xdr:from>
    <xdr:to>
      <xdr:col>8</xdr:col>
      <xdr:colOff>586740</xdr:colOff>
      <xdr:row>25</xdr:row>
      <xdr:rowOff>99060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FD67C24-8871-48B9-A71E-109AD4E000E4}"/>
            </a:ext>
          </a:extLst>
        </xdr:cNvPr>
        <xdr:cNvCxnSpPr/>
      </xdr:nvCxnSpPr>
      <xdr:spPr>
        <a:xfrm>
          <a:off x="4892040" y="5059680"/>
          <a:ext cx="58674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51</xdr:row>
      <xdr:rowOff>11430</xdr:rowOff>
    </xdr:from>
    <xdr:to>
      <xdr:col>15</xdr:col>
      <xdr:colOff>548640</xdr:colOff>
      <xdr:row>75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78F7C-3ADB-A9C6-7136-F9F6F223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E2A6-4FA9-419B-B32D-A6DDE910CE7B}">
  <dimension ref="A1:K39"/>
  <sheetViews>
    <sheetView tabSelected="1" workbookViewId="0">
      <selection activeCell="B23" sqref="B23"/>
    </sheetView>
  </sheetViews>
  <sheetFormatPr defaultRowHeight="14.4" x14ac:dyDescent="0.3"/>
  <cols>
    <col min="4" max="4" width="10.44140625" customWidth="1"/>
  </cols>
  <sheetData>
    <row r="1" spans="1:5" x14ac:dyDescent="0.3">
      <c r="A1" s="23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4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7</v>
      </c>
    </row>
    <row r="9" spans="1:5" x14ac:dyDescent="0.3">
      <c r="A9" t="s">
        <v>8</v>
      </c>
    </row>
    <row r="11" spans="1:5" x14ac:dyDescent="0.3">
      <c r="A11" t="s">
        <v>15</v>
      </c>
      <c r="B11" s="1">
        <v>100</v>
      </c>
      <c r="D11" t="s">
        <v>16</v>
      </c>
      <c r="E11" s="2">
        <v>0</v>
      </c>
    </row>
    <row r="12" spans="1:5" x14ac:dyDescent="0.3">
      <c r="A12" t="s">
        <v>10</v>
      </c>
      <c r="B12" s="1">
        <v>1.2</v>
      </c>
      <c r="D12" t="s">
        <v>17</v>
      </c>
      <c r="E12" s="3">
        <f>1/12</f>
        <v>8.3333333333333329E-2</v>
      </c>
    </row>
    <row r="13" spans="1:5" x14ac:dyDescent="0.3">
      <c r="A13" t="s">
        <v>11</v>
      </c>
      <c r="B13" s="1">
        <v>0.8</v>
      </c>
    </row>
    <row r="14" spans="1:5" x14ac:dyDescent="0.3">
      <c r="A14" t="s">
        <v>18</v>
      </c>
      <c r="B14" s="1">
        <v>105</v>
      </c>
      <c r="D14" t="s">
        <v>25</v>
      </c>
      <c r="E14" s="4">
        <v>5</v>
      </c>
    </row>
    <row r="15" spans="1:5" ht="15" thickBot="1" x14ac:dyDescent="0.35"/>
    <row r="16" spans="1:5" ht="15" thickBot="1" x14ac:dyDescent="0.35">
      <c r="A16" t="s">
        <v>19</v>
      </c>
      <c r="D16" s="5">
        <f>(1 + E11*E12 - B13) / (B12 - B13)</f>
        <v>0.5</v>
      </c>
    </row>
    <row r="17" spans="1:11" ht="15" thickBot="1" x14ac:dyDescent="0.35"/>
    <row r="18" spans="1:11" ht="15" thickBot="1" x14ac:dyDescent="0.35">
      <c r="D18" s="6" t="s">
        <v>20</v>
      </c>
      <c r="E18" s="7">
        <f>B19*$B$12</f>
        <v>120</v>
      </c>
    </row>
    <row r="19" spans="1:11" ht="15" thickBot="1" x14ac:dyDescent="0.35">
      <c r="A19" s="6" t="s">
        <v>20</v>
      </c>
      <c r="B19" s="8">
        <f>B11</f>
        <v>100</v>
      </c>
      <c r="D19" s="9" t="s">
        <v>21</v>
      </c>
      <c r="E19" s="10">
        <f>MAX(E18-$B$14, 0)</f>
        <v>15</v>
      </c>
    </row>
    <row r="20" spans="1:11" x14ac:dyDescent="0.3">
      <c r="A20" s="11" t="s">
        <v>22</v>
      </c>
      <c r="B20" s="15">
        <f>($D$16 *E19 + (1 - $D$16)*E23) / (1 + $E$11*$E$12)</f>
        <v>7.5</v>
      </c>
    </row>
    <row r="21" spans="1:11" ht="15" thickBot="1" x14ac:dyDescent="0.35">
      <c r="A21" s="11" t="s">
        <v>23</v>
      </c>
      <c r="B21" s="12">
        <f>(E19 - E23) / (E18 - E22)</f>
        <v>0.375</v>
      </c>
      <c r="E21" s="13"/>
    </row>
    <row r="22" spans="1:11" ht="15" thickBot="1" x14ac:dyDescent="0.35">
      <c r="A22" s="9" t="s">
        <v>24</v>
      </c>
      <c r="B22" s="10">
        <f>(E23*B12 - E19*B13) / ((1 + E11*E12) * (B12-B13))</f>
        <v>-30.000000000000007</v>
      </c>
      <c r="D22" s="6" t="s">
        <v>20</v>
      </c>
      <c r="E22" s="14">
        <f>B19*$B$13</f>
        <v>80</v>
      </c>
    </row>
    <row r="23" spans="1:11" ht="15" thickBot="1" x14ac:dyDescent="0.35">
      <c r="D23" s="9" t="s">
        <v>21</v>
      </c>
      <c r="E23" s="10">
        <f>MAX(E22-$B$14, 0)</f>
        <v>0</v>
      </c>
    </row>
    <row r="25" spans="1:11" x14ac:dyDescent="0.3">
      <c r="A25" t="s">
        <v>26</v>
      </c>
    </row>
    <row r="27" spans="1:11" x14ac:dyDescent="0.3">
      <c r="C27" s="44" t="s">
        <v>28</v>
      </c>
      <c r="D27" s="44"/>
      <c r="E27" s="44"/>
      <c r="F27" s="44" t="s">
        <v>29</v>
      </c>
      <c r="G27" s="44"/>
      <c r="H27" s="44"/>
      <c r="I27" s="44" t="s">
        <v>30</v>
      </c>
      <c r="J27" s="44"/>
      <c r="K27" s="44"/>
    </row>
    <row r="28" spans="1:11" x14ac:dyDescent="0.3">
      <c r="C28" t="s">
        <v>24</v>
      </c>
      <c r="D28" t="s">
        <v>20</v>
      </c>
      <c r="E28" t="s">
        <v>27</v>
      </c>
      <c r="F28" t="s">
        <v>24</v>
      </c>
      <c r="G28" t="s">
        <v>20</v>
      </c>
      <c r="H28" t="s">
        <v>27</v>
      </c>
      <c r="I28" t="s">
        <v>24</v>
      </c>
      <c r="J28" t="s">
        <v>20</v>
      </c>
      <c r="K28" t="s">
        <v>27</v>
      </c>
    </row>
    <row r="29" spans="1:11" x14ac:dyDescent="0.3">
      <c r="A29" t="s">
        <v>31</v>
      </c>
      <c r="D29">
        <f>B21</f>
        <v>0.375</v>
      </c>
      <c r="G29">
        <f>-D29</f>
        <v>-0.375</v>
      </c>
      <c r="J29">
        <f>-D29</f>
        <v>-0.375</v>
      </c>
    </row>
    <row r="30" spans="1:11" x14ac:dyDescent="0.3">
      <c r="A30" t="s">
        <v>32</v>
      </c>
      <c r="C30">
        <f>-D30*B11</f>
        <v>37.5</v>
      </c>
      <c r="D30">
        <f>-D29</f>
        <v>-0.375</v>
      </c>
    </row>
    <row r="31" spans="1:11" x14ac:dyDescent="0.3">
      <c r="A31" t="s">
        <v>33</v>
      </c>
      <c r="C31" s="16">
        <f>-E31*E14</f>
        <v>-5</v>
      </c>
      <c r="E31">
        <v>1</v>
      </c>
      <c r="H31">
        <v>1</v>
      </c>
      <c r="K31">
        <v>1</v>
      </c>
    </row>
    <row r="32" spans="1:11" x14ac:dyDescent="0.3">
      <c r="A32" t="s">
        <v>34</v>
      </c>
      <c r="C32">
        <f>-SUM(C30:C31)</f>
        <v>-32.5</v>
      </c>
      <c r="F32" s="17">
        <f>-C32*(1+E11*E12)</f>
        <v>32.5</v>
      </c>
      <c r="I32" s="17">
        <f>-C32*(1+E11*E12)</f>
        <v>32.5</v>
      </c>
    </row>
    <row r="33" spans="1:11" x14ac:dyDescent="0.3">
      <c r="A33" t="s">
        <v>35</v>
      </c>
      <c r="C33" s="17"/>
      <c r="F33" s="17"/>
      <c r="I33" s="17"/>
    </row>
    <row r="34" spans="1:11" x14ac:dyDescent="0.3">
      <c r="A34" t="s">
        <v>36</v>
      </c>
      <c r="F34" s="17">
        <f>-G34*B14</f>
        <v>-105</v>
      </c>
      <c r="G34">
        <f>-H34</f>
        <v>1</v>
      </c>
      <c r="H34">
        <f>-H31</f>
        <v>-1</v>
      </c>
    </row>
    <row r="35" spans="1:11" x14ac:dyDescent="0.3">
      <c r="A35" t="s">
        <v>40</v>
      </c>
      <c r="F35" s="17">
        <f>-G35*E18</f>
        <v>75</v>
      </c>
      <c r="G35">
        <f>-(1+G29)</f>
        <v>-0.625</v>
      </c>
    </row>
    <row r="36" spans="1:11" x14ac:dyDescent="0.3">
      <c r="A36" t="s">
        <v>38</v>
      </c>
    </row>
    <row r="37" spans="1:11" x14ac:dyDescent="0.3">
      <c r="A37" t="s">
        <v>39</v>
      </c>
      <c r="K37">
        <v>-1</v>
      </c>
    </row>
    <row r="38" spans="1:11" x14ac:dyDescent="0.3">
      <c r="A38" t="s">
        <v>37</v>
      </c>
      <c r="I38" s="17">
        <f>-J38*E22</f>
        <v>-30</v>
      </c>
      <c r="J38">
        <f>-J29</f>
        <v>0.375</v>
      </c>
    </row>
    <row r="39" spans="1:11" x14ac:dyDescent="0.3">
      <c r="A39" t="s">
        <v>41</v>
      </c>
      <c r="C39">
        <f>SUM(C29:C38)</f>
        <v>0</v>
      </c>
      <c r="D39">
        <f t="shared" ref="D39:K39" si="0">SUM(D29:D38)</f>
        <v>0</v>
      </c>
      <c r="E39">
        <f t="shared" si="0"/>
        <v>1</v>
      </c>
      <c r="F39" s="22">
        <f t="shared" si="0"/>
        <v>2.5</v>
      </c>
      <c r="G39">
        <f t="shared" si="0"/>
        <v>0</v>
      </c>
      <c r="H39">
        <f t="shared" si="0"/>
        <v>0</v>
      </c>
      <c r="I39" s="22">
        <f t="shared" si="0"/>
        <v>2.5</v>
      </c>
      <c r="J39">
        <f t="shared" si="0"/>
        <v>0</v>
      </c>
      <c r="K39">
        <f t="shared" si="0"/>
        <v>0</v>
      </c>
    </row>
  </sheetData>
  <mergeCells count="3">
    <mergeCell ref="C27:E27"/>
    <mergeCell ref="F27:H27"/>
    <mergeCell ref="I27:K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CA5-D3A0-4D3E-B491-9AFB00FA7121}">
  <dimension ref="A1:L58"/>
  <sheetViews>
    <sheetView workbookViewId="0"/>
  </sheetViews>
  <sheetFormatPr defaultRowHeight="14.4" x14ac:dyDescent="0.3"/>
  <cols>
    <col min="1" max="1" width="11.88671875" customWidth="1"/>
    <col min="2" max="2" width="16" customWidth="1"/>
    <col min="3" max="3" width="13.77734375" customWidth="1"/>
    <col min="9" max="9" width="9.109375" bestFit="1" customWidth="1"/>
    <col min="10" max="10" width="9.6640625" customWidth="1"/>
    <col min="11" max="11" width="10.5546875" customWidth="1"/>
    <col min="12" max="12" width="9.109375" bestFit="1" customWidth="1"/>
  </cols>
  <sheetData>
    <row r="1" spans="1:1" x14ac:dyDescent="0.3">
      <c r="A1" s="23" t="s">
        <v>87</v>
      </c>
    </row>
    <row r="2" spans="1:1" x14ac:dyDescent="0.3">
      <c r="A2" t="s">
        <v>42</v>
      </c>
    </row>
    <row r="3" spans="1:1" x14ac:dyDescent="0.3">
      <c r="A3" t="s">
        <v>43</v>
      </c>
    </row>
    <row r="4" spans="1:1" x14ac:dyDescent="0.3">
      <c r="A4" t="s">
        <v>44</v>
      </c>
    </row>
    <row r="5" spans="1:1" x14ac:dyDescent="0.3">
      <c r="A5" t="s">
        <v>45</v>
      </c>
    </row>
    <row r="6" spans="1:1" x14ac:dyDescent="0.3">
      <c r="A6" t="s">
        <v>46</v>
      </c>
    </row>
    <row r="7" spans="1:1" x14ac:dyDescent="0.3">
      <c r="A7" t="s">
        <v>47</v>
      </c>
    </row>
    <row r="8" spans="1:1" x14ac:dyDescent="0.3">
      <c r="A8" t="s">
        <v>48</v>
      </c>
    </row>
    <row r="9" spans="1:1" x14ac:dyDescent="0.3">
      <c r="A9" t="s">
        <v>49</v>
      </c>
    </row>
    <row r="10" spans="1:1" x14ac:dyDescent="0.3">
      <c r="A10" t="s">
        <v>50</v>
      </c>
    </row>
    <row r="11" spans="1:1" x14ac:dyDescent="0.3">
      <c r="A11" t="s">
        <v>51</v>
      </c>
    </row>
    <row r="12" spans="1:1" x14ac:dyDescent="0.3">
      <c r="A12" t="s">
        <v>52</v>
      </c>
    </row>
    <row r="13" spans="1:1" x14ac:dyDescent="0.3">
      <c r="A13" t="s">
        <v>53</v>
      </c>
    </row>
    <row r="14" spans="1:1" x14ac:dyDescent="0.3">
      <c r="A14" t="s">
        <v>54</v>
      </c>
    </row>
    <row r="15" spans="1:1" x14ac:dyDescent="0.3">
      <c r="A15" t="s">
        <v>55</v>
      </c>
    </row>
    <row r="16" spans="1:1" x14ac:dyDescent="0.3">
      <c r="A16" t="s">
        <v>56</v>
      </c>
    </row>
    <row r="17" spans="1:1" x14ac:dyDescent="0.3">
      <c r="A17" t="s">
        <v>66</v>
      </c>
    </row>
    <row r="18" spans="1:1" x14ac:dyDescent="0.3">
      <c r="A18" t="s">
        <v>57</v>
      </c>
    </row>
    <row r="19" spans="1:1" x14ac:dyDescent="0.3">
      <c r="A19" t="s">
        <v>67</v>
      </c>
    </row>
    <row r="20" spans="1:1" x14ac:dyDescent="0.3">
      <c r="A20" t="s">
        <v>68</v>
      </c>
    </row>
    <row r="21" spans="1:1" x14ac:dyDescent="0.3">
      <c r="A21" t="s">
        <v>69</v>
      </c>
    </row>
    <row r="22" spans="1:1" x14ac:dyDescent="0.3">
      <c r="A22" t="s">
        <v>70</v>
      </c>
    </row>
    <row r="23" spans="1:1" x14ac:dyDescent="0.3">
      <c r="A23" t="s">
        <v>71</v>
      </c>
    </row>
    <row r="24" spans="1:1" x14ac:dyDescent="0.3">
      <c r="A24" t="s">
        <v>58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61</v>
      </c>
    </row>
    <row r="28" spans="1:1" x14ac:dyDescent="0.3">
      <c r="A28" t="s">
        <v>62</v>
      </c>
    </row>
    <row r="29" spans="1:1" x14ac:dyDescent="0.3">
      <c r="A29" t="s">
        <v>63</v>
      </c>
    </row>
    <row r="30" spans="1:1" x14ac:dyDescent="0.3">
      <c r="A30" t="s">
        <v>64</v>
      </c>
    </row>
    <row r="31" spans="1:1" x14ac:dyDescent="0.3">
      <c r="A31" t="s">
        <v>65</v>
      </c>
    </row>
    <row r="33" spans="1:12" x14ac:dyDescent="0.3">
      <c r="A33" t="s">
        <v>9</v>
      </c>
      <c r="B33" s="27">
        <v>1.08</v>
      </c>
      <c r="D33" t="s">
        <v>82</v>
      </c>
      <c r="E33" s="28">
        <v>100000</v>
      </c>
    </row>
    <row r="34" spans="1:12" x14ac:dyDescent="0.3">
      <c r="A34" t="s">
        <v>12</v>
      </c>
      <c r="B34" s="27">
        <v>1.07</v>
      </c>
      <c r="D34" t="s">
        <v>83</v>
      </c>
      <c r="E34" s="1">
        <v>1.0000000000000001E-5</v>
      </c>
    </row>
    <row r="35" spans="1:12" x14ac:dyDescent="0.3">
      <c r="A35" t="s">
        <v>72</v>
      </c>
      <c r="B35" s="1">
        <v>0.25</v>
      </c>
    </row>
    <row r="36" spans="1:12" x14ac:dyDescent="0.3">
      <c r="A36" t="s">
        <v>13</v>
      </c>
      <c r="B36" s="2">
        <v>0.05</v>
      </c>
    </row>
    <row r="37" spans="1:12" x14ac:dyDescent="0.3">
      <c r="A37" t="s">
        <v>73</v>
      </c>
      <c r="B37" s="2">
        <v>0.03</v>
      </c>
    </row>
    <row r="38" spans="1:12" x14ac:dyDescent="0.3">
      <c r="A38" t="s">
        <v>74</v>
      </c>
      <c r="B38" s="2">
        <v>0.1</v>
      </c>
    </row>
    <row r="40" spans="1:12" x14ac:dyDescent="0.3">
      <c r="A40" t="s">
        <v>9</v>
      </c>
      <c r="B40" s="19">
        <f t="shared" ref="B40:B45" si="0">B33</f>
        <v>1.08</v>
      </c>
      <c r="C40" s="19">
        <f>B40</f>
        <v>1.08</v>
      </c>
      <c r="D40" s="19">
        <f>C40</f>
        <v>1.08</v>
      </c>
      <c r="H40" t="s">
        <v>91</v>
      </c>
      <c r="I40" t="s">
        <v>92</v>
      </c>
      <c r="J40" t="str">
        <f>"Short Put-" &amp; C41</f>
        <v>Short Put-1.07</v>
      </c>
      <c r="K40" t="str">
        <f>"Long Put-" &amp; D41</f>
        <v>Long Put-1.07001</v>
      </c>
      <c r="L40" t="s">
        <v>90</v>
      </c>
    </row>
    <row r="41" spans="1:12" x14ac:dyDescent="0.3">
      <c r="A41" t="s">
        <v>12</v>
      </c>
      <c r="B41" s="19">
        <f t="shared" si="0"/>
        <v>1.07</v>
      </c>
      <c r="C41" s="19">
        <f>B41</f>
        <v>1.07</v>
      </c>
      <c r="D41" s="20">
        <f>C41+E34</f>
        <v>1.0700100000000001</v>
      </c>
      <c r="H41" s="20">
        <f>C41-5*E34</f>
        <v>1.06995</v>
      </c>
      <c r="I41" s="26">
        <f>IF(H41&lt;=$B$41, $E$33, 0)</f>
        <v>100000</v>
      </c>
      <c r="J41" s="26">
        <f>MAX($C$41-H41, 0)*$B$57</f>
        <v>-500000.00000105507</v>
      </c>
      <c r="K41" s="26">
        <f>MAX($D$41-H41, 0)*$B$56</f>
        <v>600000.00000171014</v>
      </c>
      <c r="L41" s="26">
        <f>SUM(J41:K41)</f>
        <v>100000.00000065507</v>
      </c>
    </row>
    <row r="42" spans="1:12" x14ac:dyDescent="0.3">
      <c r="A42" t="s">
        <v>72</v>
      </c>
      <c r="B42">
        <f t="shared" si="0"/>
        <v>0.25</v>
      </c>
      <c r="C42" s="17">
        <f t="shared" ref="C42:D42" si="1">B42</f>
        <v>0.25</v>
      </c>
      <c r="D42" s="17">
        <f t="shared" si="1"/>
        <v>0.25</v>
      </c>
      <c r="H42" s="20">
        <f>H41+$E$34</f>
        <v>1.06996</v>
      </c>
      <c r="I42" s="26">
        <f t="shared" ref="I42:I51" si="2">IF(H42&lt;=$B$41, $E$33, 0)</f>
        <v>100000</v>
      </c>
      <c r="J42" s="26">
        <f t="shared" ref="J42:J51" si="3">MAX($C$41-H42, 0)*$B$57</f>
        <v>-400000.00000039994</v>
      </c>
      <c r="K42" s="26">
        <f t="shared" ref="K42:K51" si="4">MAX($D$41-H42, 0)*$B$56</f>
        <v>500000.00000105507</v>
      </c>
      <c r="L42" s="26">
        <f t="shared" ref="L42:L51" si="5">SUM(J42:K42)</f>
        <v>100000.00000065513</v>
      </c>
    </row>
    <row r="43" spans="1:12" x14ac:dyDescent="0.3">
      <c r="A43" t="s">
        <v>13</v>
      </c>
      <c r="B43" s="25">
        <f t="shared" si="0"/>
        <v>0.05</v>
      </c>
      <c r="C43" s="25">
        <f t="shared" ref="C43:D43" si="6">B43</f>
        <v>0.05</v>
      </c>
      <c r="D43" s="25">
        <f t="shared" si="6"/>
        <v>0.05</v>
      </c>
      <c r="H43" s="20">
        <f t="shared" ref="H43:H51" si="7">H42+$E$34</f>
        <v>1.0699700000000001</v>
      </c>
      <c r="I43" s="26">
        <f t="shared" si="2"/>
        <v>100000</v>
      </c>
      <c r="J43" s="26">
        <f t="shared" si="3"/>
        <v>-299999.99999974488</v>
      </c>
      <c r="K43" s="26">
        <f t="shared" si="4"/>
        <v>400000.00000039994</v>
      </c>
      <c r="L43" s="26">
        <f t="shared" si="5"/>
        <v>100000.00000065507</v>
      </c>
    </row>
    <row r="44" spans="1:12" x14ac:dyDescent="0.3">
      <c r="A44" t="s">
        <v>73</v>
      </c>
      <c r="B44" s="25">
        <f t="shared" si="0"/>
        <v>0.03</v>
      </c>
      <c r="C44" s="25">
        <f t="shared" ref="C44:D44" si="8">B44</f>
        <v>0.03</v>
      </c>
      <c r="D44" s="25">
        <f t="shared" si="8"/>
        <v>0.03</v>
      </c>
      <c r="H44" s="20">
        <f t="shared" si="7"/>
        <v>1.0699800000000002</v>
      </c>
      <c r="I44" s="26">
        <f t="shared" si="2"/>
        <v>100000</v>
      </c>
      <c r="J44" s="26">
        <f t="shared" si="3"/>
        <v>-199999.99999908975</v>
      </c>
      <c r="K44" s="26">
        <f t="shared" si="4"/>
        <v>299999.99999974488</v>
      </c>
      <c r="L44" s="26">
        <f t="shared" si="5"/>
        <v>100000.00000065513</v>
      </c>
    </row>
    <row r="45" spans="1:12" x14ac:dyDescent="0.3">
      <c r="A45" t="s">
        <v>74</v>
      </c>
      <c r="B45" s="25">
        <f t="shared" si="0"/>
        <v>0.1</v>
      </c>
      <c r="C45" s="25">
        <f t="shared" ref="C45:D45" si="9">B45</f>
        <v>0.1</v>
      </c>
      <c r="D45" s="25">
        <f t="shared" si="9"/>
        <v>0.1</v>
      </c>
      <c r="H45" s="20">
        <f t="shared" si="7"/>
        <v>1.0699900000000002</v>
      </c>
      <c r="I45" s="26">
        <f t="shared" si="2"/>
        <v>100000</v>
      </c>
      <c r="J45" s="26">
        <f t="shared" si="3"/>
        <v>-99999.99999843465</v>
      </c>
      <c r="K45" s="26">
        <f t="shared" si="4"/>
        <v>199999.99999908975</v>
      </c>
      <c r="L45" s="26">
        <f t="shared" si="5"/>
        <v>100000.0000006551</v>
      </c>
    </row>
    <row r="46" spans="1:12" x14ac:dyDescent="0.3">
      <c r="A46" t="s">
        <v>75</v>
      </c>
      <c r="B46" s="18">
        <f xml:space="preserve"> 1 / (B45 * SQRT(B42)) * (LN(B40/B41) + (B43 - B44 + B45^2/2)*B42)</f>
        <v>0.31104785324627265</v>
      </c>
      <c r="C46" s="18">
        <f xml:space="preserve"> 1 / (C45 * SQRT(C42)) * (LN(C40/C41) + (C43 - C44 + C45^2/2)*C42)</f>
        <v>0.31104785324627265</v>
      </c>
      <c r="D46" s="18">
        <f xml:space="preserve"> 1 / (D45 * SQRT(D42)) * (LN(D40/D41) + (D43 - D44 + D45^2/2)*D42)</f>
        <v>0.31086093823185268</v>
      </c>
      <c r="H46" s="20">
        <f t="shared" si="7"/>
        <v>1.0700000000000003</v>
      </c>
      <c r="I46" s="26">
        <f t="shared" si="2"/>
        <v>100000</v>
      </c>
      <c r="J46" s="26">
        <f t="shared" si="3"/>
        <v>0</v>
      </c>
      <c r="K46" s="26">
        <f t="shared" si="4"/>
        <v>99999.99999843465</v>
      </c>
      <c r="L46" s="26">
        <f t="shared" si="5"/>
        <v>99999.99999843465</v>
      </c>
    </row>
    <row r="47" spans="1:12" x14ac:dyDescent="0.3">
      <c r="A47" t="s">
        <v>76</v>
      </c>
      <c r="B47" s="18">
        <f xml:space="preserve"> 1 / (B45 * SQRT(B42)) * (LN(B40/B41) + (B43 - B44 - B45^2/2)*B42)</f>
        <v>0.26104785324627261</v>
      </c>
      <c r="C47" s="18">
        <f xml:space="preserve"> 1 / (C45 * SQRT(C42)) * (LN(C40/C41) + (C43 - C44 - C45^2/2)*C42)</f>
        <v>0.26104785324627261</v>
      </c>
      <c r="D47" s="18">
        <f xml:space="preserve"> 1 / (D45 * SQRT(D42)) * (LN(D40/D41) + (D43 - D44 - D45^2/2)*D42)</f>
        <v>0.26086093823185269</v>
      </c>
      <c r="H47" s="20">
        <f t="shared" si="7"/>
        <v>1.0700100000000003</v>
      </c>
      <c r="I47">
        <f t="shared" si="2"/>
        <v>0</v>
      </c>
      <c r="J47" s="26">
        <f t="shared" si="3"/>
        <v>0</v>
      </c>
      <c r="K47" s="26">
        <f t="shared" si="4"/>
        <v>0</v>
      </c>
      <c r="L47" s="26">
        <f t="shared" si="5"/>
        <v>0</v>
      </c>
    </row>
    <row r="48" spans="1:12" x14ac:dyDescent="0.3">
      <c r="A48" t="s">
        <v>77</v>
      </c>
      <c r="B48" s="24">
        <f>B40 * EXP(-B44*B42) *_xlfn.NORM.DIST(B46, 0, 1, 1) - B41 * EXP(-B43*B42) *_xlfn.NORM.DIST(B47, 0, 1, 1)</f>
        <v>2.970130991919151E-2</v>
      </c>
      <c r="C48" s="24">
        <f>C40 * EXP(-C44*C42) *_xlfn.NORM.DIST(C46, 0, 1, 1) - C41 * EXP(-C43*C42) *_xlfn.NORM.DIST(C47, 0, 1, 1)</f>
        <v>2.970130991919151E-2</v>
      </c>
      <c r="D48" s="24">
        <f>D40 * EXP(-D44*D42) *_xlfn.NORM.DIST(D46, 0, 1, 1) - D41 * EXP(-D43*D42) *_xlfn.NORM.DIST(D47, 0, 1, 1)</f>
        <v>2.9695355455506167E-2</v>
      </c>
      <c r="H48" s="20">
        <f>H47+$E$34</f>
        <v>1.0700200000000004</v>
      </c>
      <c r="I48">
        <f t="shared" si="2"/>
        <v>0</v>
      </c>
      <c r="J48" s="26">
        <f t="shared" si="3"/>
        <v>0</v>
      </c>
      <c r="K48" s="26">
        <f t="shared" si="4"/>
        <v>0</v>
      </c>
      <c r="L48" s="26">
        <f t="shared" si="5"/>
        <v>0</v>
      </c>
    </row>
    <row r="49" spans="1:12" x14ac:dyDescent="0.3">
      <c r="A49" t="s">
        <v>78</v>
      </c>
      <c r="B49" s="24">
        <f>B41 * EXP(-B43*B42) *_xlfn.NORM.DIST(-B47, 0, 1, 1) - B40 * EXP(-B44*B42) *_xlfn.NORM.DIST(-B46, 0, 1, 1)</f>
        <v>1.4479257242975274E-2</v>
      </c>
      <c r="C49" s="30">
        <f>C41 * EXP(-C43*C42) *_xlfn.NORM.DIST(-C47, 0, 1, 1) - C40 * EXP(-C44*C42) *_xlfn.NORM.DIST(-C46, 0, 1, 1)</f>
        <v>1.4479257242975274E-2</v>
      </c>
      <c r="D49" s="30">
        <f>D41 * EXP(-D43*D42) *_xlfn.NORM.DIST(-D47, 0, 1, 1) - D40 * EXP(-D44*D42) *_xlfn.NORM.DIST(-D46, 0, 1, 1)</f>
        <v>1.448317855729464E-2</v>
      </c>
      <c r="H49" s="20">
        <f t="shared" si="7"/>
        <v>1.0700300000000005</v>
      </c>
      <c r="I49">
        <f t="shared" si="2"/>
        <v>0</v>
      </c>
      <c r="J49" s="26">
        <f t="shared" si="3"/>
        <v>0</v>
      </c>
      <c r="K49" s="26">
        <f t="shared" si="4"/>
        <v>0</v>
      </c>
      <c r="L49" s="26">
        <f t="shared" si="5"/>
        <v>0</v>
      </c>
    </row>
    <row r="50" spans="1:12" x14ac:dyDescent="0.3">
      <c r="A50" t="s">
        <v>79</v>
      </c>
      <c r="B50" s="24">
        <f>EXP(-B43*B42) *_xlfn.NORM.DIST(B47, 0, 1, 1)</f>
        <v>0.59548195671513027</v>
      </c>
      <c r="C50" s="24">
        <f>EXP(-C43*C42) *_xlfn.NORM.DIST(C47, 0, 1, 1)</f>
        <v>0.59548195671513027</v>
      </c>
      <c r="D50" s="24">
        <f>EXP(-D43*D42) *_xlfn.NORM.DIST(D47, 0, 1, 1)</f>
        <v>0.59541077991586344</v>
      </c>
      <c r="H50" s="20">
        <f t="shared" si="7"/>
        <v>1.0700400000000005</v>
      </c>
      <c r="I50">
        <f t="shared" si="2"/>
        <v>0</v>
      </c>
      <c r="J50" s="26">
        <f t="shared" si="3"/>
        <v>0</v>
      </c>
      <c r="K50" s="26">
        <f t="shared" si="4"/>
        <v>0</v>
      </c>
      <c r="L50" s="26">
        <f t="shared" si="5"/>
        <v>0</v>
      </c>
    </row>
    <row r="51" spans="1:12" x14ac:dyDescent="0.3">
      <c r="A51" t="s">
        <v>80</v>
      </c>
      <c r="B51" s="29">
        <f>EXP(-B43*B42) *_xlfn.NORM.DIST(-B47, 0, 1, 1)</f>
        <v>0.39209584377875123</v>
      </c>
      <c r="C51" s="24">
        <f>EXP(-C43*C42) *_xlfn.NORM.DIST(-C47, 0, 1, 1)</f>
        <v>0.39209584377875123</v>
      </c>
      <c r="D51" s="24">
        <f>EXP(-D43*D42) *_xlfn.NORM.DIST(-D47, 0, 1, 1)</f>
        <v>0.39216702057801794</v>
      </c>
      <c r="H51" s="20">
        <f t="shared" si="7"/>
        <v>1.0700500000000006</v>
      </c>
      <c r="I51">
        <f t="shared" si="2"/>
        <v>0</v>
      </c>
      <c r="J51" s="26">
        <f t="shared" si="3"/>
        <v>0</v>
      </c>
      <c r="K51" s="26">
        <f t="shared" si="4"/>
        <v>0</v>
      </c>
      <c r="L51" s="26">
        <f t="shared" si="5"/>
        <v>0</v>
      </c>
    </row>
    <row r="53" spans="1:12" x14ac:dyDescent="0.3">
      <c r="A53" t="s">
        <v>80</v>
      </c>
      <c r="B53" s="22">
        <f>B51*E33</f>
        <v>39209.584377875122</v>
      </c>
      <c r="C53" t="s">
        <v>84</v>
      </c>
    </row>
    <row r="55" spans="1:12" x14ac:dyDescent="0.3">
      <c r="B55" t="s">
        <v>85</v>
      </c>
      <c r="C55" t="s">
        <v>86</v>
      </c>
    </row>
    <row r="56" spans="1:12" x14ac:dyDescent="0.3">
      <c r="A56" t="str">
        <f>"Put-" &amp; D41</f>
        <v>Put-1.07001</v>
      </c>
      <c r="B56" s="26">
        <f>1/E34*E33</f>
        <v>9999999999.9999981</v>
      </c>
      <c r="C56" s="26">
        <f>B56*D49</f>
        <v>144831785.57294637</v>
      </c>
      <c r="D56" t="s">
        <v>88</v>
      </c>
    </row>
    <row r="57" spans="1:12" x14ac:dyDescent="0.3">
      <c r="A57" t="str">
        <f>"Put-" &amp; C41</f>
        <v>Put-1.07</v>
      </c>
      <c r="B57" s="26">
        <f>-B56</f>
        <v>-9999999999.9999981</v>
      </c>
      <c r="C57" s="26">
        <f>B57*C49</f>
        <v>-144792572.42975271</v>
      </c>
    </row>
    <row r="58" spans="1:12" x14ac:dyDescent="0.3">
      <c r="A58" t="s">
        <v>41</v>
      </c>
      <c r="C58" s="22">
        <f>SUM(C56:C57)</f>
        <v>39213.143193662167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0DD7-DB1B-4D2F-A8E3-9F7D46E44E56}">
  <dimension ref="A1:P172"/>
  <sheetViews>
    <sheetView workbookViewId="0"/>
  </sheetViews>
  <sheetFormatPr defaultRowHeight="14.4" x14ac:dyDescent="0.3"/>
  <cols>
    <col min="1" max="1" width="11.44140625" customWidth="1"/>
    <col min="9" max="9" width="8.88671875" style="21"/>
    <col min="13" max="16" width="8.88671875" style="21"/>
  </cols>
  <sheetData>
    <row r="1" spans="1:2" x14ac:dyDescent="0.3">
      <c r="A1" s="23" t="s">
        <v>93</v>
      </c>
    </row>
    <row r="2" spans="1:2" x14ac:dyDescent="0.3">
      <c r="A2" t="s">
        <v>94</v>
      </c>
    </row>
    <row r="3" spans="1:2" x14ac:dyDescent="0.3">
      <c r="A3" t="s">
        <v>95</v>
      </c>
    </row>
    <row r="4" spans="1:2" x14ac:dyDescent="0.3">
      <c r="A4" t="s">
        <v>96</v>
      </c>
    </row>
    <row r="5" spans="1:2" x14ac:dyDescent="0.3">
      <c r="A5" t="s">
        <v>97</v>
      </c>
    </row>
    <row r="6" spans="1:2" x14ac:dyDescent="0.3">
      <c r="A6" t="s">
        <v>98</v>
      </c>
    </row>
    <row r="7" spans="1:2" x14ac:dyDescent="0.3">
      <c r="A7" t="s">
        <v>99</v>
      </c>
    </row>
    <row r="8" spans="1:2" x14ac:dyDescent="0.3">
      <c r="B8" t="s">
        <v>100</v>
      </c>
    </row>
    <row r="9" spans="1:2" x14ac:dyDescent="0.3">
      <c r="A9" t="s">
        <v>105</v>
      </c>
      <c r="B9" t="s">
        <v>101</v>
      </c>
    </row>
    <row r="10" spans="1:2" x14ac:dyDescent="0.3">
      <c r="B10" t="s">
        <v>102</v>
      </c>
    </row>
    <row r="16" spans="1:2" x14ac:dyDescent="0.3">
      <c r="A16" t="s">
        <v>103</v>
      </c>
    </row>
    <row r="17" spans="1:16" x14ac:dyDescent="0.3">
      <c r="A17" t="s">
        <v>104</v>
      </c>
    </row>
    <row r="18" spans="1:16" x14ac:dyDescent="0.3">
      <c r="A18" t="s">
        <v>106</v>
      </c>
    </row>
    <row r="19" spans="1:16" x14ac:dyDescent="0.3">
      <c r="A19" t="s">
        <v>107</v>
      </c>
    </row>
    <row r="20" spans="1:16" x14ac:dyDescent="0.3">
      <c r="A20" t="s">
        <v>108</v>
      </c>
    </row>
    <row r="21" spans="1:16" x14ac:dyDescent="0.3">
      <c r="A21" t="s">
        <v>109</v>
      </c>
    </row>
    <row r="22" spans="1:16" x14ac:dyDescent="0.3">
      <c r="A22" t="s">
        <v>110</v>
      </c>
    </row>
    <row r="23" spans="1:16" x14ac:dyDescent="0.3">
      <c r="A23" t="s">
        <v>111</v>
      </c>
    </row>
    <row r="25" spans="1:16" x14ac:dyDescent="0.3">
      <c r="A25" t="s">
        <v>9</v>
      </c>
      <c r="B25" s="28">
        <v>100</v>
      </c>
      <c r="D25" t="s">
        <v>12</v>
      </c>
      <c r="E25" s="28">
        <v>105</v>
      </c>
    </row>
    <row r="26" spans="1:16" x14ac:dyDescent="0.3">
      <c r="A26" t="s">
        <v>72</v>
      </c>
      <c r="B26" s="1">
        <v>1</v>
      </c>
      <c r="D26" t="s">
        <v>112</v>
      </c>
      <c r="E26" s="1">
        <v>80</v>
      </c>
    </row>
    <row r="27" spans="1:16" x14ac:dyDescent="0.3">
      <c r="A27" t="s">
        <v>13</v>
      </c>
      <c r="B27" s="2">
        <v>0.05</v>
      </c>
      <c r="D27" t="s">
        <v>113</v>
      </c>
      <c r="E27" s="1">
        <v>130</v>
      </c>
    </row>
    <row r="28" spans="1:16" x14ac:dyDescent="0.3">
      <c r="A28" t="s">
        <v>73</v>
      </c>
      <c r="B28" s="2">
        <v>0</v>
      </c>
    </row>
    <row r="29" spans="1:16" x14ac:dyDescent="0.3">
      <c r="A29" t="s">
        <v>74</v>
      </c>
      <c r="B29" s="2">
        <v>0.2</v>
      </c>
    </row>
    <row r="31" spans="1:16" x14ac:dyDescent="0.3">
      <c r="A31" t="s">
        <v>9</v>
      </c>
      <c r="B31" s="26">
        <f>B25</f>
        <v>100</v>
      </c>
      <c r="C31">
        <f>B31</f>
        <v>100</v>
      </c>
      <c r="D31">
        <f>C31</f>
        <v>100</v>
      </c>
      <c r="I31" s="21" t="s">
        <v>115</v>
      </c>
      <c r="J31" t="str">
        <f>A45</f>
        <v>Long call-105</v>
      </c>
      <c r="K31" t="str">
        <f>A46</f>
        <v>Long put-105</v>
      </c>
      <c r="L31" t="str">
        <f>A47</f>
        <v>Short put-80</v>
      </c>
      <c r="M31" s="21" t="str">
        <f>A48</f>
        <v>Short 25x digial put-80</v>
      </c>
      <c r="N31" s="21" t="str">
        <f>A49</f>
        <v>Short call-130</v>
      </c>
      <c r="O31" s="21" t="str">
        <f>A50</f>
        <v>Short 25x digital call-130</v>
      </c>
      <c r="P31" s="21" t="s">
        <v>41</v>
      </c>
    </row>
    <row r="32" spans="1:16" x14ac:dyDescent="0.3">
      <c r="A32" t="s">
        <v>12</v>
      </c>
      <c r="B32">
        <f>E26</f>
        <v>80</v>
      </c>
      <c r="C32" s="26">
        <f>E25</f>
        <v>105</v>
      </c>
      <c r="D32">
        <f>E27</f>
        <v>130</v>
      </c>
      <c r="I32" s="21">
        <v>70</v>
      </c>
      <c r="J32" s="17">
        <f>MAX(I32-$D$45,0)*$C$45</f>
        <v>0</v>
      </c>
      <c r="K32" s="17">
        <f>MAX($D$46-I32, 0)*$C$46</f>
        <v>35</v>
      </c>
      <c r="L32" s="17">
        <f>MAX($D$47-I32, 0)*$C$47</f>
        <v>-10</v>
      </c>
      <c r="M32" s="21">
        <f t="shared" ref="M32:M63" si="0">(I32&lt;=$D$48)*$C$48</f>
        <v>-25</v>
      </c>
      <c r="N32" s="21">
        <f>MAX(I32-$D$49, 0)*$C$49</f>
        <v>0</v>
      </c>
      <c r="O32" s="21">
        <f t="shared" ref="O32:O63" si="1">(I32&gt;=$D$50)*$C$50</f>
        <v>0</v>
      </c>
      <c r="P32" s="21">
        <f t="shared" ref="P32:P63" si="2">SUM(J32:O32)</f>
        <v>0</v>
      </c>
    </row>
    <row r="33" spans="1:16" x14ac:dyDescent="0.3">
      <c r="A33" t="s">
        <v>72</v>
      </c>
      <c r="B33">
        <f>B26</f>
        <v>1</v>
      </c>
      <c r="C33">
        <f t="shared" ref="C33:D36" si="3">B33</f>
        <v>1</v>
      </c>
      <c r="D33">
        <f t="shared" si="3"/>
        <v>1</v>
      </c>
      <c r="I33" s="21">
        <v>71</v>
      </c>
      <c r="J33" s="17">
        <f t="shared" ref="J33:J96" si="4">MAX(I33-$D$45,0)*$C$45</f>
        <v>0</v>
      </c>
      <c r="K33" s="17">
        <f t="shared" ref="K33:K96" si="5">MAX($D$46-I33, 0)*$C$46</f>
        <v>34</v>
      </c>
      <c r="L33" s="17">
        <f t="shared" ref="L33:L96" si="6">MAX($D$47-I33, 0)*$C$47</f>
        <v>-9</v>
      </c>
      <c r="M33" s="21">
        <f t="shared" si="0"/>
        <v>-25</v>
      </c>
      <c r="N33" s="21">
        <f t="shared" ref="N33:N96" si="7">MAX(I33-$D$49, 0)*$C$49</f>
        <v>0</v>
      </c>
      <c r="O33" s="21">
        <f t="shared" si="1"/>
        <v>0</v>
      </c>
      <c r="P33" s="21">
        <f t="shared" si="2"/>
        <v>0</v>
      </c>
    </row>
    <row r="34" spans="1:16" x14ac:dyDescent="0.3">
      <c r="A34" t="s">
        <v>13</v>
      </c>
      <c r="B34" s="25">
        <f>B27</f>
        <v>0.05</v>
      </c>
      <c r="C34">
        <f t="shared" si="3"/>
        <v>0.05</v>
      </c>
      <c r="D34">
        <f t="shared" si="3"/>
        <v>0.05</v>
      </c>
      <c r="I34" s="21">
        <v>72</v>
      </c>
      <c r="J34" s="17">
        <f t="shared" si="4"/>
        <v>0</v>
      </c>
      <c r="K34" s="17">
        <f t="shared" si="5"/>
        <v>33</v>
      </c>
      <c r="L34" s="17">
        <f t="shared" si="6"/>
        <v>-8</v>
      </c>
      <c r="M34" s="21">
        <f t="shared" si="0"/>
        <v>-25</v>
      </c>
      <c r="N34" s="21">
        <f t="shared" si="7"/>
        <v>0</v>
      </c>
      <c r="O34" s="21">
        <f t="shared" si="1"/>
        <v>0</v>
      </c>
      <c r="P34" s="21">
        <f t="shared" si="2"/>
        <v>0</v>
      </c>
    </row>
    <row r="35" spans="1:16" x14ac:dyDescent="0.3">
      <c r="A35" t="s">
        <v>73</v>
      </c>
      <c r="B35" s="25">
        <f>B28</f>
        <v>0</v>
      </c>
      <c r="C35">
        <f t="shared" si="3"/>
        <v>0</v>
      </c>
      <c r="D35">
        <f t="shared" si="3"/>
        <v>0</v>
      </c>
      <c r="I35" s="21">
        <v>73</v>
      </c>
      <c r="J35" s="17">
        <f t="shared" si="4"/>
        <v>0</v>
      </c>
      <c r="K35" s="17">
        <f t="shared" si="5"/>
        <v>32</v>
      </c>
      <c r="L35" s="17">
        <f t="shared" si="6"/>
        <v>-7</v>
      </c>
      <c r="M35" s="21">
        <f t="shared" si="0"/>
        <v>-25</v>
      </c>
      <c r="N35" s="21">
        <f t="shared" si="7"/>
        <v>0</v>
      </c>
      <c r="O35" s="21">
        <f t="shared" si="1"/>
        <v>0</v>
      </c>
      <c r="P35" s="21">
        <f t="shared" si="2"/>
        <v>0</v>
      </c>
    </row>
    <row r="36" spans="1:16" x14ac:dyDescent="0.3">
      <c r="A36" t="s">
        <v>74</v>
      </c>
      <c r="B36" s="25">
        <f>B29</f>
        <v>0.2</v>
      </c>
      <c r="C36">
        <f t="shared" si="3"/>
        <v>0.2</v>
      </c>
      <c r="D36">
        <f t="shared" si="3"/>
        <v>0.2</v>
      </c>
      <c r="I36" s="21">
        <v>74</v>
      </c>
      <c r="J36" s="17">
        <f t="shared" si="4"/>
        <v>0</v>
      </c>
      <c r="K36" s="17">
        <f t="shared" si="5"/>
        <v>31</v>
      </c>
      <c r="L36" s="17">
        <f t="shared" si="6"/>
        <v>-6</v>
      </c>
      <c r="M36" s="21">
        <f t="shared" si="0"/>
        <v>-25</v>
      </c>
      <c r="N36" s="21">
        <f t="shared" si="7"/>
        <v>0</v>
      </c>
      <c r="O36" s="21">
        <f t="shared" si="1"/>
        <v>0</v>
      </c>
      <c r="P36" s="21">
        <f t="shared" si="2"/>
        <v>0</v>
      </c>
    </row>
    <row r="37" spans="1:16" x14ac:dyDescent="0.3">
      <c r="A37" t="s">
        <v>75</v>
      </c>
      <c r="B37" s="18">
        <f xml:space="preserve"> 1 / (B36 * SQRT(B33)) * (LN(B31/B32) + (B34 - B35 + B36^2/2)*B33)</f>
        <v>1.4657177565710489</v>
      </c>
      <c r="C37" s="18">
        <f xml:space="preserve"> 1 / (C36 * SQRT(C33)) * (LN(C31/C32) + (C34 - C35 + C36^2/2)*C33)</f>
        <v>0.10604917915283976</v>
      </c>
      <c r="D37" s="18">
        <f xml:space="preserve"> 1 / (D36 * SQRT(D33)) * (LN(D31/D32) + (D34 - D35 + D36^2/2)*D33)</f>
        <v>-0.96182132233745499</v>
      </c>
      <c r="I37" s="21">
        <v>75</v>
      </c>
      <c r="J37" s="17">
        <f t="shared" si="4"/>
        <v>0</v>
      </c>
      <c r="K37" s="17">
        <f t="shared" si="5"/>
        <v>30</v>
      </c>
      <c r="L37" s="17">
        <f t="shared" si="6"/>
        <v>-5</v>
      </c>
      <c r="M37" s="21">
        <f t="shared" si="0"/>
        <v>-25</v>
      </c>
      <c r="N37" s="21">
        <f t="shared" si="7"/>
        <v>0</v>
      </c>
      <c r="O37" s="21">
        <f t="shared" si="1"/>
        <v>0</v>
      </c>
      <c r="P37" s="21">
        <f t="shared" si="2"/>
        <v>0</v>
      </c>
    </row>
    <row r="38" spans="1:16" x14ac:dyDescent="0.3">
      <c r="A38" t="s">
        <v>76</v>
      </c>
      <c r="B38" s="18">
        <f xml:space="preserve"> 1 / (B36 * SQRT(B33)) * (LN(B31/B32) + (B34 - B35 - B36^2/2)*B33)</f>
        <v>1.2657177565710487</v>
      </c>
      <c r="C38" s="18">
        <f xml:space="preserve"> 1 / (C36 * SQRT(C33)) * (LN(C31/C32) + (C34 - C35 - C36^2/2)*C33)</f>
        <v>-9.3950820847160277E-2</v>
      </c>
      <c r="D38" s="18">
        <f xml:space="preserve"> 1 / (D36 * SQRT(D33)) * (LN(D31/D32) + (D34 - D35 - D36^2/2)*D33)</f>
        <v>-1.1618213223374549</v>
      </c>
      <c r="I38" s="21">
        <v>76</v>
      </c>
      <c r="J38" s="17">
        <f t="shared" si="4"/>
        <v>0</v>
      </c>
      <c r="K38" s="17">
        <f t="shared" si="5"/>
        <v>29</v>
      </c>
      <c r="L38" s="17">
        <f t="shared" si="6"/>
        <v>-4</v>
      </c>
      <c r="M38" s="21">
        <f t="shared" si="0"/>
        <v>-25</v>
      </c>
      <c r="N38" s="21">
        <f t="shared" si="7"/>
        <v>0</v>
      </c>
      <c r="O38" s="21">
        <f t="shared" si="1"/>
        <v>0</v>
      </c>
      <c r="P38" s="21">
        <f t="shared" si="2"/>
        <v>0</v>
      </c>
    </row>
    <row r="39" spans="1:16" x14ac:dyDescent="0.3">
      <c r="A39" t="s">
        <v>77</v>
      </c>
      <c r="B39" s="18">
        <f>B31 * EXP(-B35*B33) *_xlfn.NORM.DIST(B37, 0, 1, 1) - B32 * EXP(-B34*B33) *_xlfn.NORM.DIST(B38, 0, 1, 1)</f>
        <v>24.588835443927749</v>
      </c>
      <c r="C39" s="32">
        <f>C31 * EXP(-C35*C33) *_xlfn.NORM.DIST(C37, 0, 1, 1) - C32 * EXP(-C34*C33) *_xlfn.NORM.DIST(C38, 0, 1, 1)</f>
        <v>8.0213522351431834</v>
      </c>
      <c r="D39" s="33">
        <f>D31 * EXP(-D35*D33) *_xlfn.NORM.DIST(D37, 0, 1, 1) - D32 * EXP(-D34*D33) *_xlfn.NORM.DIST(D38, 0, 1, 1)</f>
        <v>1.6395929155861193</v>
      </c>
      <c r="I39" s="21">
        <v>77</v>
      </c>
      <c r="J39" s="17">
        <f t="shared" si="4"/>
        <v>0</v>
      </c>
      <c r="K39" s="17">
        <f t="shared" si="5"/>
        <v>28</v>
      </c>
      <c r="L39" s="17">
        <f t="shared" si="6"/>
        <v>-3</v>
      </c>
      <c r="M39" s="21">
        <f t="shared" si="0"/>
        <v>-25</v>
      </c>
      <c r="N39" s="21">
        <f t="shared" si="7"/>
        <v>0</v>
      </c>
      <c r="O39" s="21">
        <f t="shared" si="1"/>
        <v>0</v>
      </c>
      <c r="P39" s="21">
        <f t="shared" si="2"/>
        <v>0</v>
      </c>
    </row>
    <row r="40" spans="1:16" x14ac:dyDescent="0.3">
      <c r="A40" t="s">
        <v>78</v>
      </c>
      <c r="B40" s="33">
        <f>B32 * EXP(-B34*B33) *_xlfn.NORM.DIST(-B38, 0, 1, 1) - B31 * EXP(-B35*B33) *_xlfn.NORM.DIST(-B37, 0, 1, 1)</f>
        <v>0.68718940398487494</v>
      </c>
      <c r="C40" s="32">
        <f>C32 * EXP(-C34*C33) *_xlfn.NORM.DIST(-C38, 0, 1, 1) - C31 * EXP(-C35*C33) *_xlfn.NORM.DIST(-C37, 0, 1, 1)</f>
        <v>7.9004418077181526</v>
      </c>
      <c r="D40" s="18">
        <f>D32 * EXP(-D34*D33) *_xlfn.NORM.DIST(-D38, 0, 1, 1) - D31 * EXP(-D35*D33) *_xlfn.NORM.DIST(-D37, 0, 1, 1)</f>
        <v>25.299418100678949</v>
      </c>
      <c r="I40" s="31">
        <v>79.98</v>
      </c>
      <c r="J40" s="17">
        <f t="shared" si="4"/>
        <v>0</v>
      </c>
      <c r="K40" s="17">
        <f t="shared" si="5"/>
        <v>25.019999999999996</v>
      </c>
      <c r="L40" s="17">
        <f t="shared" si="6"/>
        <v>-1.9999999999996021E-2</v>
      </c>
      <c r="M40" s="21">
        <f t="shared" si="0"/>
        <v>-25</v>
      </c>
      <c r="N40" s="21">
        <f t="shared" si="7"/>
        <v>0</v>
      </c>
      <c r="O40" s="21">
        <f t="shared" si="1"/>
        <v>0</v>
      </c>
      <c r="P40" s="21">
        <f t="shared" si="2"/>
        <v>0</v>
      </c>
    </row>
    <row r="41" spans="1:16" x14ac:dyDescent="0.3">
      <c r="A41" t="s">
        <v>79</v>
      </c>
      <c r="B41" s="18">
        <f>EXP(-B34*B33) *_xlfn.NORM.DIST(B38, 0, 1, 1)</f>
        <v>0.85343631028206335</v>
      </c>
      <c r="C41" s="18">
        <f>EXP(-C34*C33) *_xlfn.NORM.DIST(C38, 0, 1, 1)</f>
        <v>0.44001410593654616</v>
      </c>
      <c r="D41" s="33">
        <f>EXP(-D34*D33) *_xlfn.NORM.DIST(D38, 0, 1, 1)</f>
        <v>0.1166721181193132</v>
      </c>
      <c r="I41" s="31">
        <v>79.989999999999995</v>
      </c>
      <c r="J41" s="17">
        <f t="shared" si="4"/>
        <v>0</v>
      </c>
      <c r="K41" s="17">
        <f t="shared" si="5"/>
        <v>25.010000000000005</v>
      </c>
      <c r="L41" s="17">
        <f t="shared" si="6"/>
        <v>-1.0000000000005116E-2</v>
      </c>
      <c r="M41" s="21">
        <f t="shared" si="0"/>
        <v>-25</v>
      </c>
      <c r="N41" s="21">
        <f t="shared" si="7"/>
        <v>0</v>
      </c>
      <c r="O41" s="21">
        <f t="shared" si="1"/>
        <v>0</v>
      </c>
      <c r="P41" s="21">
        <f t="shared" si="2"/>
        <v>0</v>
      </c>
    </row>
    <row r="42" spans="1:16" x14ac:dyDescent="0.3">
      <c r="A42" t="s">
        <v>80</v>
      </c>
      <c r="B42" s="33">
        <f>EXP(-B34*B33) *_xlfn.NORM.DIST(-B38, 0, 1, 1)</f>
        <v>9.7793114218650751E-2</v>
      </c>
      <c r="C42" s="18">
        <f>EXP(-C34*C33) *_xlfn.NORM.DIST(-C38, 0, 1, 1)</f>
        <v>0.5112153185641678</v>
      </c>
      <c r="D42" s="18">
        <f>EXP(-D34*D33) *_xlfn.NORM.DIST(-D38, 0, 1, 1)</f>
        <v>0.8345573063814008</v>
      </c>
      <c r="I42" s="31">
        <v>80</v>
      </c>
      <c r="J42" s="17">
        <f t="shared" si="4"/>
        <v>0</v>
      </c>
      <c r="K42" s="17">
        <f t="shared" si="5"/>
        <v>25</v>
      </c>
      <c r="L42" s="17">
        <f t="shared" si="6"/>
        <v>0</v>
      </c>
      <c r="M42" s="21">
        <f t="shared" si="0"/>
        <v>-25</v>
      </c>
      <c r="N42" s="21">
        <f t="shared" si="7"/>
        <v>0</v>
      </c>
      <c r="O42" s="21">
        <f t="shared" si="1"/>
        <v>0</v>
      </c>
      <c r="P42" s="21">
        <f t="shared" si="2"/>
        <v>0</v>
      </c>
    </row>
    <row r="43" spans="1:16" x14ac:dyDescent="0.3">
      <c r="I43" s="31">
        <v>80.010000000000005</v>
      </c>
      <c r="J43" s="17">
        <f t="shared" si="4"/>
        <v>0</v>
      </c>
      <c r="K43" s="17">
        <f t="shared" si="5"/>
        <v>24.989999999999995</v>
      </c>
      <c r="L43" s="17">
        <f t="shared" si="6"/>
        <v>0</v>
      </c>
      <c r="M43" s="21">
        <f t="shared" si="0"/>
        <v>0</v>
      </c>
      <c r="N43" s="21">
        <f t="shared" si="7"/>
        <v>0</v>
      </c>
      <c r="O43" s="21">
        <f t="shared" si="1"/>
        <v>0</v>
      </c>
      <c r="P43" s="21">
        <f t="shared" si="2"/>
        <v>24.989999999999995</v>
      </c>
    </row>
    <row r="44" spans="1:16" x14ac:dyDescent="0.3">
      <c r="C44" t="s">
        <v>85</v>
      </c>
      <c r="D44" t="s">
        <v>89</v>
      </c>
      <c r="E44" t="s">
        <v>86</v>
      </c>
      <c r="F44" t="s">
        <v>114</v>
      </c>
      <c r="I44" s="31">
        <v>80.02</v>
      </c>
      <c r="J44" s="17">
        <f t="shared" si="4"/>
        <v>0</v>
      </c>
      <c r="K44" s="17">
        <f t="shared" si="5"/>
        <v>24.980000000000004</v>
      </c>
      <c r="L44" s="17">
        <f t="shared" si="6"/>
        <v>0</v>
      </c>
      <c r="M44" s="21">
        <f t="shared" si="0"/>
        <v>0</v>
      </c>
      <c r="N44" s="21">
        <f t="shared" si="7"/>
        <v>0</v>
      </c>
      <c r="O44" s="21">
        <f t="shared" si="1"/>
        <v>0</v>
      </c>
      <c r="P44" s="21">
        <f t="shared" si="2"/>
        <v>24.980000000000004</v>
      </c>
    </row>
    <row r="45" spans="1:16" x14ac:dyDescent="0.3">
      <c r="A45" t="str">
        <f>"Long call-" &amp; E25</f>
        <v>Long call-105</v>
      </c>
      <c r="C45">
        <v>1</v>
      </c>
      <c r="D45" s="26">
        <f>E25</f>
        <v>105</v>
      </c>
      <c r="E45" s="18">
        <f>C39</f>
        <v>8.0213522351431834</v>
      </c>
      <c r="F45" s="24">
        <f>E45*C45</f>
        <v>8.0213522351431834</v>
      </c>
      <c r="I45" s="21">
        <v>83</v>
      </c>
      <c r="J45" s="17">
        <f t="shared" si="4"/>
        <v>0</v>
      </c>
      <c r="K45" s="17">
        <f t="shared" si="5"/>
        <v>22</v>
      </c>
      <c r="L45" s="17">
        <f t="shared" si="6"/>
        <v>0</v>
      </c>
      <c r="M45" s="21">
        <f t="shared" si="0"/>
        <v>0</v>
      </c>
      <c r="N45" s="21">
        <f t="shared" si="7"/>
        <v>0</v>
      </c>
      <c r="O45" s="21">
        <f t="shared" si="1"/>
        <v>0</v>
      </c>
      <c r="P45" s="21">
        <f t="shared" si="2"/>
        <v>22</v>
      </c>
    </row>
    <row r="46" spans="1:16" x14ac:dyDescent="0.3">
      <c r="A46" t="str">
        <f>"Long put-" &amp; E25</f>
        <v>Long put-105</v>
      </c>
      <c r="C46">
        <v>1</v>
      </c>
      <c r="D46" s="26">
        <f>E25</f>
        <v>105</v>
      </c>
      <c r="E46" s="18">
        <f>C40</f>
        <v>7.9004418077181526</v>
      </c>
      <c r="F46" s="24">
        <f t="shared" ref="F46:F47" si="8">E46*C46</f>
        <v>7.9004418077181526</v>
      </c>
      <c r="I46" s="21">
        <v>84</v>
      </c>
      <c r="J46" s="17">
        <f t="shared" si="4"/>
        <v>0</v>
      </c>
      <c r="K46" s="17">
        <f t="shared" si="5"/>
        <v>21</v>
      </c>
      <c r="L46" s="17">
        <f t="shared" si="6"/>
        <v>0</v>
      </c>
      <c r="M46" s="21">
        <f t="shared" si="0"/>
        <v>0</v>
      </c>
      <c r="N46" s="21">
        <f t="shared" si="7"/>
        <v>0</v>
      </c>
      <c r="O46" s="21">
        <f t="shared" si="1"/>
        <v>0</v>
      </c>
      <c r="P46" s="21">
        <f t="shared" si="2"/>
        <v>21</v>
      </c>
    </row>
    <row r="47" spans="1:16" x14ac:dyDescent="0.3">
      <c r="A47" t="str">
        <f>"Short put-" &amp; E26</f>
        <v>Short put-80</v>
      </c>
      <c r="C47">
        <f>-C46</f>
        <v>-1</v>
      </c>
      <c r="D47">
        <f>E26</f>
        <v>80</v>
      </c>
      <c r="E47" s="18">
        <f>B40</f>
        <v>0.68718940398487494</v>
      </c>
      <c r="F47" s="24">
        <f t="shared" si="8"/>
        <v>-0.68718940398487494</v>
      </c>
      <c r="I47" s="21">
        <v>85</v>
      </c>
      <c r="J47" s="17">
        <f t="shared" si="4"/>
        <v>0</v>
      </c>
      <c r="K47" s="17">
        <f t="shared" si="5"/>
        <v>20</v>
      </c>
      <c r="L47" s="17">
        <f t="shared" si="6"/>
        <v>0</v>
      </c>
      <c r="M47" s="21">
        <f t="shared" si="0"/>
        <v>0</v>
      </c>
      <c r="N47" s="21">
        <f t="shared" si="7"/>
        <v>0</v>
      </c>
      <c r="O47" s="21">
        <f t="shared" si="1"/>
        <v>0</v>
      </c>
      <c r="P47" s="21">
        <f t="shared" si="2"/>
        <v>20</v>
      </c>
    </row>
    <row r="48" spans="1:16" x14ac:dyDescent="0.3">
      <c r="A48" t="str">
        <f>"Short " &amp; ABS(C48) &amp; "x digial put-" &amp; E26</f>
        <v>Short 25x digial put-80</v>
      </c>
      <c r="C48" s="26">
        <f>E25-E27</f>
        <v>-25</v>
      </c>
      <c r="D48">
        <f>E26</f>
        <v>80</v>
      </c>
      <c r="E48" s="18">
        <f>B42</f>
        <v>9.7793114218650751E-2</v>
      </c>
      <c r="F48" s="24">
        <f>E48*C48</f>
        <v>-2.4448278554662686</v>
      </c>
      <c r="I48" s="21">
        <v>86</v>
      </c>
      <c r="J48" s="17">
        <f t="shared" si="4"/>
        <v>0</v>
      </c>
      <c r="K48" s="17">
        <f t="shared" si="5"/>
        <v>19</v>
      </c>
      <c r="L48" s="17">
        <f t="shared" si="6"/>
        <v>0</v>
      </c>
      <c r="M48" s="21">
        <f t="shared" si="0"/>
        <v>0</v>
      </c>
      <c r="N48" s="21">
        <f t="shared" si="7"/>
        <v>0</v>
      </c>
      <c r="O48" s="21">
        <f t="shared" si="1"/>
        <v>0</v>
      </c>
      <c r="P48" s="21">
        <f t="shared" si="2"/>
        <v>19</v>
      </c>
    </row>
    <row r="49" spans="1:16" x14ac:dyDescent="0.3">
      <c r="A49" t="str">
        <f>"Short call-" &amp; E27</f>
        <v>Short call-130</v>
      </c>
      <c r="C49">
        <f>-C45</f>
        <v>-1</v>
      </c>
      <c r="D49">
        <f>E27</f>
        <v>130</v>
      </c>
      <c r="E49" s="18">
        <f>D39</f>
        <v>1.6395929155861193</v>
      </c>
      <c r="F49" s="24">
        <f>E49*C49</f>
        <v>-1.6395929155861193</v>
      </c>
      <c r="I49" s="21">
        <v>87</v>
      </c>
      <c r="J49" s="17">
        <f t="shared" si="4"/>
        <v>0</v>
      </c>
      <c r="K49" s="17">
        <f t="shared" si="5"/>
        <v>18</v>
      </c>
      <c r="L49" s="17">
        <f t="shared" si="6"/>
        <v>0</v>
      </c>
      <c r="M49" s="21">
        <f t="shared" si="0"/>
        <v>0</v>
      </c>
      <c r="N49" s="21">
        <f t="shared" si="7"/>
        <v>0</v>
      </c>
      <c r="O49" s="21">
        <f t="shared" si="1"/>
        <v>0</v>
      </c>
      <c r="P49" s="21">
        <f t="shared" si="2"/>
        <v>18</v>
      </c>
    </row>
    <row r="50" spans="1:16" x14ac:dyDescent="0.3">
      <c r="A50" t="str">
        <f>"Short " &amp; ABS(C50) &amp; "x digital call-" &amp; E27</f>
        <v>Short 25x digital call-130</v>
      </c>
      <c r="C50" s="26">
        <f>-(E27-E25)</f>
        <v>-25</v>
      </c>
      <c r="D50">
        <f>E27</f>
        <v>130</v>
      </c>
      <c r="E50" s="18">
        <f>D41</f>
        <v>0.1166721181193132</v>
      </c>
      <c r="F50" s="24">
        <f>E50*C50</f>
        <v>-2.9168029529828301</v>
      </c>
      <c r="I50" s="21">
        <v>88</v>
      </c>
      <c r="J50" s="17">
        <f t="shared" si="4"/>
        <v>0</v>
      </c>
      <c r="K50" s="17">
        <f t="shared" si="5"/>
        <v>17</v>
      </c>
      <c r="L50" s="17">
        <f t="shared" si="6"/>
        <v>0</v>
      </c>
      <c r="M50" s="21">
        <f t="shared" si="0"/>
        <v>0</v>
      </c>
      <c r="N50" s="21">
        <f t="shared" si="7"/>
        <v>0</v>
      </c>
      <c r="O50" s="21">
        <f t="shared" si="1"/>
        <v>0</v>
      </c>
      <c r="P50" s="21">
        <f t="shared" si="2"/>
        <v>17</v>
      </c>
    </row>
    <row r="51" spans="1:16" x14ac:dyDescent="0.3">
      <c r="A51" t="s">
        <v>41</v>
      </c>
      <c r="E51" s="18"/>
      <c r="F51" s="29">
        <f>SUM(F45:F50)</f>
        <v>8.2333809148412449</v>
      </c>
      <c r="I51" s="21">
        <v>89</v>
      </c>
      <c r="J51" s="17">
        <f t="shared" si="4"/>
        <v>0</v>
      </c>
      <c r="K51" s="17">
        <f t="shared" si="5"/>
        <v>16</v>
      </c>
      <c r="L51" s="17">
        <f t="shared" si="6"/>
        <v>0</v>
      </c>
      <c r="M51" s="21">
        <f t="shared" si="0"/>
        <v>0</v>
      </c>
      <c r="N51" s="21">
        <f t="shared" si="7"/>
        <v>0</v>
      </c>
      <c r="O51" s="21">
        <f t="shared" si="1"/>
        <v>0</v>
      </c>
      <c r="P51" s="21">
        <f t="shared" si="2"/>
        <v>16</v>
      </c>
    </row>
    <row r="52" spans="1:16" x14ac:dyDescent="0.3">
      <c r="I52" s="21">
        <v>90</v>
      </c>
      <c r="J52" s="17">
        <f t="shared" si="4"/>
        <v>0</v>
      </c>
      <c r="K52" s="17">
        <f t="shared" si="5"/>
        <v>15</v>
      </c>
      <c r="L52" s="17">
        <f t="shared" si="6"/>
        <v>0</v>
      </c>
      <c r="M52" s="21">
        <f t="shared" si="0"/>
        <v>0</v>
      </c>
      <c r="N52" s="21">
        <f t="shared" si="7"/>
        <v>0</v>
      </c>
      <c r="O52" s="21">
        <f t="shared" si="1"/>
        <v>0</v>
      </c>
      <c r="P52" s="21">
        <f t="shared" si="2"/>
        <v>15</v>
      </c>
    </row>
    <row r="53" spans="1:16" x14ac:dyDescent="0.3">
      <c r="I53" s="21">
        <v>91</v>
      </c>
      <c r="J53" s="17">
        <f t="shared" si="4"/>
        <v>0</v>
      </c>
      <c r="K53" s="17">
        <f t="shared" si="5"/>
        <v>14</v>
      </c>
      <c r="L53" s="17">
        <f t="shared" si="6"/>
        <v>0</v>
      </c>
      <c r="M53" s="21">
        <f t="shared" si="0"/>
        <v>0</v>
      </c>
      <c r="N53" s="21">
        <f t="shared" si="7"/>
        <v>0</v>
      </c>
      <c r="O53" s="21">
        <f t="shared" si="1"/>
        <v>0</v>
      </c>
      <c r="P53" s="21">
        <f t="shared" si="2"/>
        <v>14</v>
      </c>
    </row>
    <row r="54" spans="1:16" x14ac:dyDescent="0.3">
      <c r="I54" s="21">
        <v>92</v>
      </c>
      <c r="J54" s="17">
        <f t="shared" si="4"/>
        <v>0</v>
      </c>
      <c r="K54" s="17">
        <f t="shared" si="5"/>
        <v>13</v>
      </c>
      <c r="L54" s="17">
        <f t="shared" si="6"/>
        <v>0</v>
      </c>
      <c r="M54" s="21">
        <f t="shared" si="0"/>
        <v>0</v>
      </c>
      <c r="N54" s="21">
        <f t="shared" si="7"/>
        <v>0</v>
      </c>
      <c r="O54" s="21">
        <f t="shared" si="1"/>
        <v>0</v>
      </c>
      <c r="P54" s="21">
        <f t="shared" si="2"/>
        <v>13</v>
      </c>
    </row>
    <row r="55" spans="1:16" x14ac:dyDescent="0.3">
      <c r="I55" s="21">
        <v>93</v>
      </c>
      <c r="J55" s="17">
        <f t="shared" si="4"/>
        <v>0</v>
      </c>
      <c r="K55" s="17">
        <f t="shared" si="5"/>
        <v>12</v>
      </c>
      <c r="L55" s="17">
        <f t="shared" si="6"/>
        <v>0</v>
      </c>
      <c r="M55" s="21">
        <f t="shared" si="0"/>
        <v>0</v>
      </c>
      <c r="N55" s="21">
        <f t="shared" si="7"/>
        <v>0</v>
      </c>
      <c r="O55" s="21">
        <f t="shared" si="1"/>
        <v>0</v>
      </c>
      <c r="P55" s="21">
        <f t="shared" si="2"/>
        <v>12</v>
      </c>
    </row>
    <row r="56" spans="1:16" x14ac:dyDescent="0.3">
      <c r="I56" s="21">
        <v>94</v>
      </c>
      <c r="J56" s="17">
        <f t="shared" si="4"/>
        <v>0</v>
      </c>
      <c r="K56" s="17">
        <f t="shared" si="5"/>
        <v>11</v>
      </c>
      <c r="L56" s="17">
        <f t="shared" si="6"/>
        <v>0</v>
      </c>
      <c r="M56" s="21">
        <f t="shared" si="0"/>
        <v>0</v>
      </c>
      <c r="N56" s="21">
        <f t="shared" si="7"/>
        <v>0</v>
      </c>
      <c r="O56" s="21">
        <f t="shared" si="1"/>
        <v>0</v>
      </c>
      <c r="P56" s="21">
        <f t="shared" si="2"/>
        <v>11</v>
      </c>
    </row>
    <row r="57" spans="1:16" x14ac:dyDescent="0.3">
      <c r="I57" s="21">
        <v>95</v>
      </c>
      <c r="J57" s="17">
        <f t="shared" si="4"/>
        <v>0</v>
      </c>
      <c r="K57" s="17">
        <f t="shared" si="5"/>
        <v>10</v>
      </c>
      <c r="L57" s="17">
        <f t="shared" si="6"/>
        <v>0</v>
      </c>
      <c r="M57" s="21">
        <f t="shared" si="0"/>
        <v>0</v>
      </c>
      <c r="N57" s="21">
        <f t="shared" si="7"/>
        <v>0</v>
      </c>
      <c r="O57" s="21">
        <f t="shared" si="1"/>
        <v>0</v>
      </c>
      <c r="P57" s="21">
        <f t="shared" si="2"/>
        <v>10</v>
      </c>
    </row>
    <row r="58" spans="1:16" x14ac:dyDescent="0.3">
      <c r="I58" s="21">
        <v>96</v>
      </c>
      <c r="J58" s="17">
        <f t="shared" si="4"/>
        <v>0</v>
      </c>
      <c r="K58" s="17">
        <f t="shared" si="5"/>
        <v>9</v>
      </c>
      <c r="L58" s="17">
        <f t="shared" si="6"/>
        <v>0</v>
      </c>
      <c r="M58" s="21">
        <f t="shared" si="0"/>
        <v>0</v>
      </c>
      <c r="N58" s="21">
        <f t="shared" si="7"/>
        <v>0</v>
      </c>
      <c r="O58" s="21">
        <f t="shared" si="1"/>
        <v>0</v>
      </c>
      <c r="P58" s="21">
        <f t="shared" si="2"/>
        <v>9</v>
      </c>
    </row>
    <row r="59" spans="1:16" x14ac:dyDescent="0.3">
      <c r="I59" s="21">
        <v>97</v>
      </c>
      <c r="J59" s="17">
        <f t="shared" si="4"/>
        <v>0</v>
      </c>
      <c r="K59" s="17">
        <f t="shared" si="5"/>
        <v>8</v>
      </c>
      <c r="L59" s="17">
        <f t="shared" si="6"/>
        <v>0</v>
      </c>
      <c r="M59" s="21">
        <f t="shared" si="0"/>
        <v>0</v>
      </c>
      <c r="N59" s="21">
        <f t="shared" si="7"/>
        <v>0</v>
      </c>
      <c r="O59" s="21">
        <f t="shared" si="1"/>
        <v>0</v>
      </c>
      <c r="P59" s="21">
        <f t="shared" si="2"/>
        <v>8</v>
      </c>
    </row>
    <row r="60" spans="1:16" x14ac:dyDescent="0.3">
      <c r="I60" s="21">
        <v>98</v>
      </c>
      <c r="J60" s="17">
        <f t="shared" si="4"/>
        <v>0</v>
      </c>
      <c r="K60" s="17">
        <f t="shared" si="5"/>
        <v>7</v>
      </c>
      <c r="L60" s="17">
        <f t="shared" si="6"/>
        <v>0</v>
      </c>
      <c r="M60" s="21">
        <f t="shared" si="0"/>
        <v>0</v>
      </c>
      <c r="N60" s="21">
        <f t="shared" si="7"/>
        <v>0</v>
      </c>
      <c r="O60" s="21">
        <f t="shared" si="1"/>
        <v>0</v>
      </c>
      <c r="P60" s="21">
        <f t="shared" si="2"/>
        <v>7</v>
      </c>
    </row>
    <row r="61" spans="1:16" x14ac:dyDescent="0.3">
      <c r="I61" s="21">
        <v>99</v>
      </c>
      <c r="J61" s="17">
        <f t="shared" si="4"/>
        <v>0</v>
      </c>
      <c r="K61" s="17">
        <f t="shared" si="5"/>
        <v>6</v>
      </c>
      <c r="L61" s="17">
        <f t="shared" si="6"/>
        <v>0</v>
      </c>
      <c r="M61" s="21">
        <f t="shared" si="0"/>
        <v>0</v>
      </c>
      <c r="N61" s="21">
        <f t="shared" si="7"/>
        <v>0</v>
      </c>
      <c r="O61" s="21">
        <f t="shared" si="1"/>
        <v>0</v>
      </c>
      <c r="P61" s="21">
        <f t="shared" si="2"/>
        <v>6</v>
      </c>
    </row>
    <row r="62" spans="1:16" x14ac:dyDescent="0.3">
      <c r="I62" s="21">
        <v>100</v>
      </c>
      <c r="J62" s="17">
        <f t="shared" si="4"/>
        <v>0</v>
      </c>
      <c r="K62" s="17">
        <f t="shared" si="5"/>
        <v>5</v>
      </c>
      <c r="L62" s="17">
        <f t="shared" si="6"/>
        <v>0</v>
      </c>
      <c r="M62" s="21">
        <f t="shared" si="0"/>
        <v>0</v>
      </c>
      <c r="N62" s="21">
        <f t="shared" si="7"/>
        <v>0</v>
      </c>
      <c r="O62" s="21">
        <f t="shared" si="1"/>
        <v>0</v>
      </c>
      <c r="P62" s="21">
        <f t="shared" si="2"/>
        <v>5</v>
      </c>
    </row>
    <row r="63" spans="1:16" x14ac:dyDescent="0.3">
      <c r="I63" s="21">
        <v>101</v>
      </c>
      <c r="J63" s="17">
        <f t="shared" si="4"/>
        <v>0</v>
      </c>
      <c r="K63" s="17">
        <f t="shared" si="5"/>
        <v>4</v>
      </c>
      <c r="L63" s="17">
        <f t="shared" si="6"/>
        <v>0</v>
      </c>
      <c r="M63" s="21">
        <f t="shared" si="0"/>
        <v>0</v>
      </c>
      <c r="N63" s="21">
        <f t="shared" si="7"/>
        <v>0</v>
      </c>
      <c r="O63" s="21">
        <f t="shared" si="1"/>
        <v>0</v>
      </c>
      <c r="P63" s="21">
        <f t="shared" si="2"/>
        <v>4</v>
      </c>
    </row>
    <row r="64" spans="1:16" x14ac:dyDescent="0.3">
      <c r="I64" s="21">
        <v>102</v>
      </c>
      <c r="J64" s="17">
        <f t="shared" si="4"/>
        <v>0</v>
      </c>
      <c r="K64" s="17">
        <f t="shared" si="5"/>
        <v>3</v>
      </c>
      <c r="L64" s="17">
        <f t="shared" si="6"/>
        <v>0</v>
      </c>
      <c r="M64" s="21">
        <f t="shared" ref="M64:M95" si="9">(I64&lt;=$D$48)*$C$48</f>
        <v>0</v>
      </c>
      <c r="N64" s="21">
        <f t="shared" si="7"/>
        <v>0</v>
      </c>
      <c r="O64" s="21">
        <f t="shared" ref="O64:O95" si="10">(I64&gt;=$D$50)*$C$50</f>
        <v>0</v>
      </c>
      <c r="P64" s="21">
        <f t="shared" ref="P64:P95" si="11">SUM(J64:O64)</f>
        <v>3</v>
      </c>
    </row>
    <row r="65" spans="9:16" x14ac:dyDescent="0.3">
      <c r="I65" s="21">
        <v>103</v>
      </c>
      <c r="J65" s="17">
        <f t="shared" si="4"/>
        <v>0</v>
      </c>
      <c r="K65" s="17">
        <f t="shared" si="5"/>
        <v>2</v>
      </c>
      <c r="L65" s="17">
        <f t="shared" si="6"/>
        <v>0</v>
      </c>
      <c r="M65" s="21">
        <f t="shared" si="9"/>
        <v>0</v>
      </c>
      <c r="N65" s="21">
        <f t="shared" si="7"/>
        <v>0</v>
      </c>
      <c r="O65" s="21">
        <f t="shared" si="10"/>
        <v>0</v>
      </c>
      <c r="P65" s="21">
        <f t="shared" si="11"/>
        <v>2</v>
      </c>
    </row>
    <row r="66" spans="9:16" x14ac:dyDescent="0.3">
      <c r="I66" s="21">
        <v>104</v>
      </c>
      <c r="J66" s="17">
        <f t="shared" si="4"/>
        <v>0</v>
      </c>
      <c r="K66" s="17">
        <f t="shared" si="5"/>
        <v>1</v>
      </c>
      <c r="L66" s="17">
        <f t="shared" si="6"/>
        <v>0</v>
      </c>
      <c r="M66" s="21">
        <f t="shared" si="9"/>
        <v>0</v>
      </c>
      <c r="N66" s="21">
        <f t="shared" si="7"/>
        <v>0</v>
      </c>
      <c r="O66" s="21">
        <f t="shared" si="10"/>
        <v>0</v>
      </c>
      <c r="P66" s="21">
        <f t="shared" si="11"/>
        <v>1</v>
      </c>
    </row>
    <row r="67" spans="9:16" x14ac:dyDescent="0.3">
      <c r="I67" s="21">
        <v>105</v>
      </c>
      <c r="J67" s="17">
        <f t="shared" si="4"/>
        <v>0</v>
      </c>
      <c r="K67" s="17">
        <f t="shared" si="5"/>
        <v>0</v>
      </c>
      <c r="L67" s="17">
        <f t="shared" si="6"/>
        <v>0</v>
      </c>
      <c r="M67" s="21">
        <f t="shared" si="9"/>
        <v>0</v>
      </c>
      <c r="N67" s="21">
        <f t="shared" si="7"/>
        <v>0</v>
      </c>
      <c r="O67" s="21">
        <f t="shared" si="10"/>
        <v>0</v>
      </c>
      <c r="P67" s="21">
        <f t="shared" si="11"/>
        <v>0</v>
      </c>
    </row>
    <row r="68" spans="9:16" x14ac:dyDescent="0.3">
      <c r="I68" s="21">
        <v>106</v>
      </c>
      <c r="J68" s="17">
        <f t="shared" si="4"/>
        <v>1</v>
      </c>
      <c r="K68" s="17">
        <f t="shared" si="5"/>
        <v>0</v>
      </c>
      <c r="L68" s="17">
        <f t="shared" si="6"/>
        <v>0</v>
      </c>
      <c r="M68" s="21">
        <f t="shared" si="9"/>
        <v>0</v>
      </c>
      <c r="N68" s="21">
        <f t="shared" si="7"/>
        <v>0</v>
      </c>
      <c r="O68" s="21">
        <f t="shared" si="10"/>
        <v>0</v>
      </c>
      <c r="P68" s="21">
        <f t="shared" si="11"/>
        <v>1</v>
      </c>
    </row>
    <row r="69" spans="9:16" x14ac:dyDescent="0.3">
      <c r="I69" s="21">
        <v>107</v>
      </c>
      <c r="J69" s="17">
        <f t="shared" si="4"/>
        <v>2</v>
      </c>
      <c r="K69" s="17">
        <f t="shared" si="5"/>
        <v>0</v>
      </c>
      <c r="L69" s="17">
        <f t="shared" si="6"/>
        <v>0</v>
      </c>
      <c r="M69" s="21">
        <f t="shared" si="9"/>
        <v>0</v>
      </c>
      <c r="N69" s="21">
        <f t="shared" si="7"/>
        <v>0</v>
      </c>
      <c r="O69" s="21">
        <f t="shared" si="10"/>
        <v>0</v>
      </c>
      <c r="P69" s="21">
        <f t="shared" si="11"/>
        <v>2</v>
      </c>
    </row>
    <row r="70" spans="9:16" x14ac:dyDescent="0.3">
      <c r="I70" s="21">
        <v>108</v>
      </c>
      <c r="J70" s="17">
        <f t="shared" si="4"/>
        <v>3</v>
      </c>
      <c r="K70" s="17">
        <f t="shared" si="5"/>
        <v>0</v>
      </c>
      <c r="L70" s="17">
        <f t="shared" si="6"/>
        <v>0</v>
      </c>
      <c r="M70" s="21">
        <f t="shared" si="9"/>
        <v>0</v>
      </c>
      <c r="N70" s="21">
        <f t="shared" si="7"/>
        <v>0</v>
      </c>
      <c r="O70" s="21">
        <f t="shared" si="10"/>
        <v>0</v>
      </c>
      <c r="P70" s="21">
        <f t="shared" si="11"/>
        <v>3</v>
      </c>
    </row>
    <row r="71" spans="9:16" x14ac:dyDescent="0.3">
      <c r="I71" s="21">
        <v>109</v>
      </c>
      <c r="J71" s="17">
        <f t="shared" si="4"/>
        <v>4</v>
      </c>
      <c r="K71" s="17">
        <f t="shared" si="5"/>
        <v>0</v>
      </c>
      <c r="L71" s="17">
        <f t="shared" si="6"/>
        <v>0</v>
      </c>
      <c r="M71" s="21">
        <f t="shared" si="9"/>
        <v>0</v>
      </c>
      <c r="N71" s="21">
        <f t="shared" si="7"/>
        <v>0</v>
      </c>
      <c r="O71" s="21">
        <f t="shared" si="10"/>
        <v>0</v>
      </c>
      <c r="P71" s="21">
        <f t="shared" si="11"/>
        <v>4</v>
      </c>
    </row>
    <row r="72" spans="9:16" x14ac:dyDescent="0.3">
      <c r="I72" s="21">
        <v>110</v>
      </c>
      <c r="J72" s="17">
        <f t="shared" si="4"/>
        <v>5</v>
      </c>
      <c r="K72" s="17">
        <f t="shared" si="5"/>
        <v>0</v>
      </c>
      <c r="L72" s="17">
        <f t="shared" si="6"/>
        <v>0</v>
      </c>
      <c r="M72" s="21">
        <f t="shared" si="9"/>
        <v>0</v>
      </c>
      <c r="N72" s="21">
        <f t="shared" si="7"/>
        <v>0</v>
      </c>
      <c r="O72" s="21">
        <f t="shared" si="10"/>
        <v>0</v>
      </c>
      <c r="P72" s="21">
        <f t="shared" si="11"/>
        <v>5</v>
      </c>
    </row>
    <row r="73" spans="9:16" x14ac:dyDescent="0.3">
      <c r="I73" s="21">
        <v>111</v>
      </c>
      <c r="J73" s="17">
        <f t="shared" si="4"/>
        <v>6</v>
      </c>
      <c r="K73" s="17">
        <f t="shared" si="5"/>
        <v>0</v>
      </c>
      <c r="L73" s="17">
        <f t="shared" si="6"/>
        <v>0</v>
      </c>
      <c r="M73" s="21">
        <f t="shared" si="9"/>
        <v>0</v>
      </c>
      <c r="N73" s="21">
        <f t="shared" si="7"/>
        <v>0</v>
      </c>
      <c r="O73" s="21">
        <f t="shared" si="10"/>
        <v>0</v>
      </c>
      <c r="P73" s="21">
        <f t="shared" si="11"/>
        <v>6</v>
      </c>
    </row>
    <row r="74" spans="9:16" x14ac:dyDescent="0.3">
      <c r="I74" s="21">
        <v>112</v>
      </c>
      <c r="J74" s="17">
        <f t="shared" si="4"/>
        <v>7</v>
      </c>
      <c r="K74" s="17">
        <f t="shared" si="5"/>
        <v>0</v>
      </c>
      <c r="L74" s="17">
        <f t="shared" si="6"/>
        <v>0</v>
      </c>
      <c r="M74" s="21">
        <f t="shared" si="9"/>
        <v>0</v>
      </c>
      <c r="N74" s="21">
        <f t="shared" si="7"/>
        <v>0</v>
      </c>
      <c r="O74" s="21">
        <f t="shared" si="10"/>
        <v>0</v>
      </c>
      <c r="P74" s="21">
        <f t="shared" si="11"/>
        <v>7</v>
      </c>
    </row>
    <row r="75" spans="9:16" x14ac:dyDescent="0.3">
      <c r="I75" s="21">
        <v>113</v>
      </c>
      <c r="J75" s="17">
        <f t="shared" si="4"/>
        <v>8</v>
      </c>
      <c r="K75" s="17">
        <f t="shared" si="5"/>
        <v>0</v>
      </c>
      <c r="L75" s="17">
        <f t="shared" si="6"/>
        <v>0</v>
      </c>
      <c r="M75" s="21">
        <f t="shared" si="9"/>
        <v>0</v>
      </c>
      <c r="N75" s="21">
        <f t="shared" si="7"/>
        <v>0</v>
      </c>
      <c r="O75" s="21">
        <f t="shared" si="10"/>
        <v>0</v>
      </c>
      <c r="P75" s="21">
        <f t="shared" si="11"/>
        <v>8</v>
      </c>
    </row>
    <row r="76" spans="9:16" x14ac:dyDescent="0.3">
      <c r="I76" s="21">
        <v>114</v>
      </c>
      <c r="J76" s="17">
        <f t="shared" si="4"/>
        <v>9</v>
      </c>
      <c r="K76" s="17">
        <f t="shared" si="5"/>
        <v>0</v>
      </c>
      <c r="L76" s="17">
        <f t="shared" si="6"/>
        <v>0</v>
      </c>
      <c r="M76" s="21">
        <f t="shared" si="9"/>
        <v>0</v>
      </c>
      <c r="N76" s="21">
        <f t="shared" si="7"/>
        <v>0</v>
      </c>
      <c r="O76" s="21">
        <f t="shared" si="10"/>
        <v>0</v>
      </c>
      <c r="P76" s="21">
        <f t="shared" si="11"/>
        <v>9</v>
      </c>
    </row>
    <row r="77" spans="9:16" x14ac:dyDescent="0.3">
      <c r="I77" s="21">
        <v>115</v>
      </c>
      <c r="J77" s="17">
        <f t="shared" si="4"/>
        <v>10</v>
      </c>
      <c r="K77" s="17">
        <f t="shared" si="5"/>
        <v>0</v>
      </c>
      <c r="L77" s="17">
        <f t="shared" si="6"/>
        <v>0</v>
      </c>
      <c r="M77" s="21">
        <f t="shared" si="9"/>
        <v>0</v>
      </c>
      <c r="N77" s="21">
        <f t="shared" si="7"/>
        <v>0</v>
      </c>
      <c r="O77" s="21">
        <f t="shared" si="10"/>
        <v>0</v>
      </c>
      <c r="P77" s="21">
        <f t="shared" si="11"/>
        <v>10</v>
      </c>
    </row>
    <row r="78" spans="9:16" x14ac:dyDescent="0.3">
      <c r="I78" s="21">
        <v>116</v>
      </c>
      <c r="J78" s="17">
        <f t="shared" si="4"/>
        <v>11</v>
      </c>
      <c r="K78" s="17">
        <f t="shared" si="5"/>
        <v>0</v>
      </c>
      <c r="L78" s="17">
        <f t="shared" si="6"/>
        <v>0</v>
      </c>
      <c r="M78" s="21">
        <f t="shared" si="9"/>
        <v>0</v>
      </c>
      <c r="N78" s="21">
        <f t="shared" si="7"/>
        <v>0</v>
      </c>
      <c r="O78" s="21">
        <f t="shared" si="10"/>
        <v>0</v>
      </c>
      <c r="P78" s="21">
        <f t="shared" si="11"/>
        <v>11</v>
      </c>
    </row>
    <row r="79" spans="9:16" x14ac:dyDescent="0.3">
      <c r="I79" s="21">
        <v>117</v>
      </c>
      <c r="J79" s="17">
        <f t="shared" si="4"/>
        <v>12</v>
      </c>
      <c r="K79" s="17">
        <f t="shared" si="5"/>
        <v>0</v>
      </c>
      <c r="L79" s="17">
        <f t="shared" si="6"/>
        <v>0</v>
      </c>
      <c r="M79" s="21">
        <f t="shared" si="9"/>
        <v>0</v>
      </c>
      <c r="N79" s="21">
        <f t="shared" si="7"/>
        <v>0</v>
      </c>
      <c r="O79" s="21">
        <f t="shared" si="10"/>
        <v>0</v>
      </c>
      <c r="P79" s="21">
        <f t="shared" si="11"/>
        <v>12</v>
      </c>
    </row>
    <row r="80" spans="9:16" x14ac:dyDescent="0.3">
      <c r="I80" s="21">
        <v>118</v>
      </c>
      <c r="J80" s="17">
        <f t="shared" si="4"/>
        <v>13</v>
      </c>
      <c r="K80" s="17">
        <f t="shared" si="5"/>
        <v>0</v>
      </c>
      <c r="L80" s="17">
        <f t="shared" si="6"/>
        <v>0</v>
      </c>
      <c r="M80" s="21">
        <f t="shared" si="9"/>
        <v>0</v>
      </c>
      <c r="N80" s="21">
        <f t="shared" si="7"/>
        <v>0</v>
      </c>
      <c r="O80" s="21">
        <f t="shared" si="10"/>
        <v>0</v>
      </c>
      <c r="P80" s="21">
        <f t="shared" si="11"/>
        <v>13</v>
      </c>
    </row>
    <row r="81" spans="9:16" x14ac:dyDescent="0.3">
      <c r="I81" s="21">
        <v>119</v>
      </c>
      <c r="J81" s="17">
        <f t="shared" si="4"/>
        <v>14</v>
      </c>
      <c r="K81" s="17">
        <f t="shared" si="5"/>
        <v>0</v>
      </c>
      <c r="L81" s="17">
        <f t="shared" si="6"/>
        <v>0</v>
      </c>
      <c r="M81" s="21">
        <f t="shared" si="9"/>
        <v>0</v>
      </c>
      <c r="N81" s="21">
        <f t="shared" si="7"/>
        <v>0</v>
      </c>
      <c r="O81" s="21">
        <f t="shared" si="10"/>
        <v>0</v>
      </c>
      <c r="P81" s="21">
        <f t="shared" si="11"/>
        <v>14</v>
      </c>
    </row>
    <row r="82" spans="9:16" x14ac:dyDescent="0.3">
      <c r="I82" s="21">
        <v>120</v>
      </c>
      <c r="J82" s="17">
        <f t="shared" si="4"/>
        <v>15</v>
      </c>
      <c r="K82" s="17">
        <f t="shared" si="5"/>
        <v>0</v>
      </c>
      <c r="L82" s="17">
        <f t="shared" si="6"/>
        <v>0</v>
      </c>
      <c r="M82" s="21">
        <f t="shared" si="9"/>
        <v>0</v>
      </c>
      <c r="N82" s="21">
        <f t="shared" si="7"/>
        <v>0</v>
      </c>
      <c r="O82" s="21">
        <f t="shared" si="10"/>
        <v>0</v>
      </c>
      <c r="P82" s="21">
        <f t="shared" si="11"/>
        <v>15</v>
      </c>
    </row>
    <row r="83" spans="9:16" x14ac:dyDescent="0.3">
      <c r="I83" s="21">
        <v>121</v>
      </c>
      <c r="J83" s="17">
        <f t="shared" si="4"/>
        <v>16</v>
      </c>
      <c r="K83" s="17">
        <f t="shared" si="5"/>
        <v>0</v>
      </c>
      <c r="L83" s="17">
        <f t="shared" si="6"/>
        <v>0</v>
      </c>
      <c r="M83" s="21">
        <f t="shared" si="9"/>
        <v>0</v>
      </c>
      <c r="N83" s="21">
        <f t="shared" si="7"/>
        <v>0</v>
      </c>
      <c r="O83" s="21">
        <f t="shared" si="10"/>
        <v>0</v>
      </c>
      <c r="P83" s="21">
        <f t="shared" si="11"/>
        <v>16</v>
      </c>
    </row>
    <row r="84" spans="9:16" x14ac:dyDescent="0.3">
      <c r="I84" s="21">
        <v>122</v>
      </c>
      <c r="J84" s="17">
        <f t="shared" si="4"/>
        <v>17</v>
      </c>
      <c r="K84" s="17">
        <f t="shared" si="5"/>
        <v>0</v>
      </c>
      <c r="L84" s="17">
        <f t="shared" si="6"/>
        <v>0</v>
      </c>
      <c r="M84" s="21">
        <f t="shared" si="9"/>
        <v>0</v>
      </c>
      <c r="N84" s="21">
        <f t="shared" si="7"/>
        <v>0</v>
      </c>
      <c r="O84" s="21">
        <f t="shared" si="10"/>
        <v>0</v>
      </c>
      <c r="P84" s="21">
        <f t="shared" si="11"/>
        <v>17</v>
      </c>
    </row>
    <row r="85" spans="9:16" x14ac:dyDescent="0.3">
      <c r="I85" s="21">
        <v>123</v>
      </c>
      <c r="J85" s="17">
        <f t="shared" si="4"/>
        <v>18</v>
      </c>
      <c r="K85" s="17">
        <f t="shared" si="5"/>
        <v>0</v>
      </c>
      <c r="L85" s="17">
        <f t="shared" si="6"/>
        <v>0</v>
      </c>
      <c r="M85" s="21">
        <f t="shared" si="9"/>
        <v>0</v>
      </c>
      <c r="N85" s="21">
        <f t="shared" si="7"/>
        <v>0</v>
      </c>
      <c r="O85" s="21">
        <f t="shared" si="10"/>
        <v>0</v>
      </c>
      <c r="P85" s="21">
        <f t="shared" si="11"/>
        <v>18</v>
      </c>
    </row>
    <row r="86" spans="9:16" x14ac:dyDescent="0.3">
      <c r="I86" s="21">
        <v>124</v>
      </c>
      <c r="J86" s="17">
        <f t="shared" si="4"/>
        <v>19</v>
      </c>
      <c r="K86" s="17">
        <f t="shared" si="5"/>
        <v>0</v>
      </c>
      <c r="L86" s="17">
        <f t="shared" si="6"/>
        <v>0</v>
      </c>
      <c r="M86" s="21">
        <f t="shared" si="9"/>
        <v>0</v>
      </c>
      <c r="N86" s="21">
        <f t="shared" si="7"/>
        <v>0</v>
      </c>
      <c r="O86" s="21">
        <f t="shared" si="10"/>
        <v>0</v>
      </c>
      <c r="P86" s="21">
        <f t="shared" si="11"/>
        <v>19</v>
      </c>
    </row>
    <row r="87" spans="9:16" x14ac:dyDescent="0.3">
      <c r="I87" s="21">
        <v>125</v>
      </c>
      <c r="J87" s="17">
        <f t="shared" si="4"/>
        <v>20</v>
      </c>
      <c r="K87" s="17">
        <f t="shared" si="5"/>
        <v>0</v>
      </c>
      <c r="L87" s="17">
        <f t="shared" si="6"/>
        <v>0</v>
      </c>
      <c r="M87" s="21">
        <f t="shared" si="9"/>
        <v>0</v>
      </c>
      <c r="N87" s="21">
        <f t="shared" si="7"/>
        <v>0</v>
      </c>
      <c r="O87" s="21">
        <f t="shared" si="10"/>
        <v>0</v>
      </c>
      <c r="P87" s="21">
        <f t="shared" si="11"/>
        <v>20</v>
      </c>
    </row>
    <row r="88" spans="9:16" x14ac:dyDescent="0.3">
      <c r="I88" s="21">
        <v>126</v>
      </c>
      <c r="J88" s="17">
        <f t="shared" si="4"/>
        <v>21</v>
      </c>
      <c r="K88" s="17">
        <f t="shared" si="5"/>
        <v>0</v>
      </c>
      <c r="L88" s="17">
        <f t="shared" si="6"/>
        <v>0</v>
      </c>
      <c r="M88" s="21">
        <f t="shared" si="9"/>
        <v>0</v>
      </c>
      <c r="N88" s="21">
        <f t="shared" si="7"/>
        <v>0</v>
      </c>
      <c r="O88" s="21">
        <f t="shared" si="10"/>
        <v>0</v>
      </c>
      <c r="P88" s="21">
        <f t="shared" si="11"/>
        <v>21</v>
      </c>
    </row>
    <row r="89" spans="9:16" x14ac:dyDescent="0.3">
      <c r="I89" s="21">
        <v>127</v>
      </c>
      <c r="J89" s="17">
        <f t="shared" si="4"/>
        <v>22</v>
      </c>
      <c r="K89" s="17">
        <f t="shared" si="5"/>
        <v>0</v>
      </c>
      <c r="L89" s="17">
        <f t="shared" si="6"/>
        <v>0</v>
      </c>
      <c r="M89" s="21">
        <f t="shared" si="9"/>
        <v>0</v>
      </c>
      <c r="N89" s="21">
        <f t="shared" si="7"/>
        <v>0</v>
      </c>
      <c r="O89" s="21">
        <f t="shared" si="10"/>
        <v>0</v>
      </c>
      <c r="P89" s="21">
        <f t="shared" si="11"/>
        <v>22</v>
      </c>
    </row>
    <row r="90" spans="9:16" x14ac:dyDescent="0.3">
      <c r="I90" s="31">
        <v>129.97999999999999</v>
      </c>
      <c r="J90" s="17">
        <f t="shared" si="4"/>
        <v>24.97999999999999</v>
      </c>
      <c r="K90" s="17">
        <f t="shared" si="5"/>
        <v>0</v>
      </c>
      <c r="L90" s="17">
        <f t="shared" si="6"/>
        <v>0</v>
      </c>
      <c r="M90" s="21">
        <f t="shared" si="9"/>
        <v>0</v>
      </c>
      <c r="N90" s="21">
        <f t="shared" si="7"/>
        <v>0</v>
      </c>
      <c r="O90" s="21">
        <f t="shared" si="10"/>
        <v>0</v>
      </c>
      <c r="P90" s="21">
        <f t="shared" si="11"/>
        <v>24.97999999999999</v>
      </c>
    </row>
    <row r="91" spans="9:16" x14ac:dyDescent="0.3">
      <c r="I91" s="31">
        <v>129.99</v>
      </c>
      <c r="J91" s="17">
        <f t="shared" si="4"/>
        <v>24.990000000000009</v>
      </c>
      <c r="K91" s="17">
        <f t="shared" si="5"/>
        <v>0</v>
      </c>
      <c r="L91" s="17">
        <f t="shared" si="6"/>
        <v>0</v>
      </c>
      <c r="M91" s="21">
        <f t="shared" si="9"/>
        <v>0</v>
      </c>
      <c r="N91" s="21">
        <f t="shared" si="7"/>
        <v>0</v>
      </c>
      <c r="O91" s="21">
        <f t="shared" si="10"/>
        <v>0</v>
      </c>
      <c r="P91" s="21">
        <f t="shared" si="11"/>
        <v>24.990000000000009</v>
      </c>
    </row>
    <row r="92" spans="9:16" x14ac:dyDescent="0.3">
      <c r="I92" s="31">
        <v>130</v>
      </c>
      <c r="J92" s="17">
        <f t="shared" si="4"/>
        <v>25</v>
      </c>
      <c r="K92" s="17">
        <f t="shared" si="5"/>
        <v>0</v>
      </c>
      <c r="L92" s="17">
        <f t="shared" si="6"/>
        <v>0</v>
      </c>
      <c r="M92" s="21">
        <f t="shared" si="9"/>
        <v>0</v>
      </c>
      <c r="N92" s="21">
        <f t="shared" si="7"/>
        <v>0</v>
      </c>
      <c r="O92" s="21">
        <f t="shared" si="10"/>
        <v>-25</v>
      </c>
      <c r="P92" s="21">
        <f t="shared" si="11"/>
        <v>0</v>
      </c>
    </row>
    <row r="93" spans="9:16" x14ac:dyDescent="0.3">
      <c r="I93" s="31">
        <v>130.01</v>
      </c>
      <c r="J93" s="17">
        <f t="shared" si="4"/>
        <v>25.009999999999991</v>
      </c>
      <c r="K93" s="17">
        <f t="shared" si="5"/>
        <v>0</v>
      </c>
      <c r="L93" s="17">
        <f t="shared" si="6"/>
        <v>0</v>
      </c>
      <c r="M93" s="21">
        <f t="shared" si="9"/>
        <v>0</v>
      </c>
      <c r="N93" s="21">
        <f t="shared" si="7"/>
        <v>-9.9999999999909051E-3</v>
      </c>
      <c r="O93" s="21">
        <f t="shared" si="10"/>
        <v>-25</v>
      </c>
      <c r="P93" s="21">
        <f t="shared" si="11"/>
        <v>0</v>
      </c>
    </row>
    <row r="94" spans="9:16" x14ac:dyDescent="0.3">
      <c r="I94" s="31">
        <v>130.02000000000001</v>
      </c>
      <c r="J94" s="17">
        <f t="shared" si="4"/>
        <v>25.02000000000001</v>
      </c>
      <c r="K94" s="17">
        <f t="shared" si="5"/>
        <v>0</v>
      </c>
      <c r="L94" s="17">
        <f t="shared" si="6"/>
        <v>0</v>
      </c>
      <c r="M94" s="21">
        <f t="shared" si="9"/>
        <v>0</v>
      </c>
      <c r="N94" s="21">
        <f t="shared" si="7"/>
        <v>-2.0000000000010232E-2</v>
      </c>
      <c r="O94" s="21">
        <f t="shared" si="10"/>
        <v>-25</v>
      </c>
      <c r="P94" s="21">
        <f t="shared" si="11"/>
        <v>0</v>
      </c>
    </row>
    <row r="95" spans="9:16" x14ac:dyDescent="0.3">
      <c r="I95" s="21">
        <v>133</v>
      </c>
      <c r="J95" s="17">
        <f t="shared" si="4"/>
        <v>28</v>
      </c>
      <c r="K95" s="17">
        <f t="shared" si="5"/>
        <v>0</v>
      </c>
      <c r="L95" s="17">
        <f t="shared" si="6"/>
        <v>0</v>
      </c>
      <c r="M95" s="21">
        <f t="shared" si="9"/>
        <v>0</v>
      </c>
      <c r="N95" s="21">
        <f t="shared" si="7"/>
        <v>-3</v>
      </c>
      <c r="O95" s="21">
        <f t="shared" si="10"/>
        <v>-25</v>
      </c>
      <c r="P95" s="21">
        <f t="shared" si="11"/>
        <v>0</v>
      </c>
    </row>
    <row r="96" spans="9:16" x14ac:dyDescent="0.3">
      <c r="I96" s="21">
        <v>134</v>
      </c>
      <c r="J96" s="17">
        <f t="shared" si="4"/>
        <v>29</v>
      </c>
      <c r="K96" s="17">
        <f t="shared" si="5"/>
        <v>0</v>
      </c>
      <c r="L96" s="17">
        <f t="shared" si="6"/>
        <v>0</v>
      </c>
      <c r="M96" s="21">
        <f t="shared" ref="M96:M127" si="12">(I96&lt;=$D$48)*$C$48</f>
        <v>0</v>
      </c>
      <c r="N96" s="21">
        <f t="shared" si="7"/>
        <v>-4</v>
      </c>
      <c r="O96" s="21">
        <f t="shared" ref="O96:O127" si="13">(I96&gt;=$D$50)*$C$50</f>
        <v>-25</v>
      </c>
      <c r="P96" s="21">
        <f t="shared" ref="P96:P127" si="14">SUM(J96:O96)</f>
        <v>0</v>
      </c>
    </row>
    <row r="97" spans="9:16" x14ac:dyDescent="0.3">
      <c r="I97" s="21">
        <v>135</v>
      </c>
      <c r="J97" s="17">
        <f t="shared" ref="J97:J160" si="15">MAX(I97-$D$45,0)*$C$45</f>
        <v>30</v>
      </c>
      <c r="K97" s="17">
        <f t="shared" ref="K97:K160" si="16">MAX($D$46-I97, 0)*$C$46</f>
        <v>0</v>
      </c>
      <c r="L97" s="17">
        <f t="shared" ref="L97:L160" si="17">MAX($D$47-I97, 0)*$C$47</f>
        <v>0</v>
      </c>
      <c r="M97" s="21">
        <f t="shared" si="12"/>
        <v>0</v>
      </c>
      <c r="N97" s="21">
        <f t="shared" ref="N97:N160" si="18">MAX(I97-$D$49, 0)*$C$49</f>
        <v>-5</v>
      </c>
      <c r="O97" s="21">
        <f t="shared" si="13"/>
        <v>-25</v>
      </c>
      <c r="P97" s="21">
        <f t="shared" si="14"/>
        <v>0</v>
      </c>
    </row>
    <row r="98" spans="9:16" x14ac:dyDescent="0.3">
      <c r="I98" s="21">
        <v>136</v>
      </c>
      <c r="J98" s="17">
        <f t="shared" si="15"/>
        <v>31</v>
      </c>
      <c r="K98" s="17">
        <f t="shared" si="16"/>
        <v>0</v>
      </c>
      <c r="L98" s="17">
        <f t="shared" si="17"/>
        <v>0</v>
      </c>
      <c r="M98" s="21">
        <f t="shared" si="12"/>
        <v>0</v>
      </c>
      <c r="N98" s="21">
        <f t="shared" si="18"/>
        <v>-6</v>
      </c>
      <c r="O98" s="21">
        <f t="shared" si="13"/>
        <v>-25</v>
      </c>
      <c r="P98" s="21">
        <f t="shared" si="14"/>
        <v>0</v>
      </c>
    </row>
    <row r="99" spans="9:16" x14ac:dyDescent="0.3">
      <c r="I99" s="21">
        <v>137</v>
      </c>
      <c r="J99" s="17">
        <f t="shared" si="15"/>
        <v>32</v>
      </c>
      <c r="K99" s="17">
        <f t="shared" si="16"/>
        <v>0</v>
      </c>
      <c r="L99" s="17">
        <f t="shared" si="17"/>
        <v>0</v>
      </c>
      <c r="M99" s="21">
        <f t="shared" si="12"/>
        <v>0</v>
      </c>
      <c r="N99" s="21">
        <f t="shared" si="18"/>
        <v>-7</v>
      </c>
      <c r="O99" s="21">
        <f t="shared" si="13"/>
        <v>-25</v>
      </c>
      <c r="P99" s="21">
        <f t="shared" si="14"/>
        <v>0</v>
      </c>
    </row>
    <row r="100" spans="9:16" x14ac:dyDescent="0.3">
      <c r="I100" s="21">
        <v>138</v>
      </c>
      <c r="J100" s="17">
        <f t="shared" si="15"/>
        <v>33</v>
      </c>
      <c r="K100" s="17">
        <f t="shared" si="16"/>
        <v>0</v>
      </c>
      <c r="L100" s="17">
        <f t="shared" si="17"/>
        <v>0</v>
      </c>
      <c r="M100" s="21">
        <f t="shared" si="12"/>
        <v>0</v>
      </c>
      <c r="N100" s="21">
        <f t="shared" si="18"/>
        <v>-8</v>
      </c>
      <c r="O100" s="21">
        <f t="shared" si="13"/>
        <v>-25</v>
      </c>
      <c r="P100" s="21">
        <f t="shared" si="14"/>
        <v>0</v>
      </c>
    </row>
    <row r="101" spans="9:16" x14ac:dyDescent="0.3">
      <c r="I101" s="21">
        <v>139</v>
      </c>
      <c r="J101" s="17">
        <f t="shared" si="15"/>
        <v>34</v>
      </c>
      <c r="K101" s="17">
        <f t="shared" si="16"/>
        <v>0</v>
      </c>
      <c r="L101" s="17">
        <f t="shared" si="17"/>
        <v>0</v>
      </c>
      <c r="M101" s="21">
        <f t="shared" si="12"/>
        <v>0</v>
      </c>
      <c r="N101" s="21">
        <f t="shared" si="18"/>
        <v>-9</v>
      </c>
      <c r="O101" s="21">
        <f t="shared" si="13"/>
        <v>-25</v>
      </c>
      <c r="P101" s="21">
        <f t="shared" si="14"/>
        <v>0</v>
      </c>
    </row>
    <row r="102" spans="9:16" x14ac:dyDescent="0.3">
      <c r="I102" s="21">
        <v>140</v>
      </c>
      <c r="J102" s="17">
        <f t="shared" si="15"/>
        <v>35</v>
      </c>
      <c r="K102" s="17">
        <f t="shared" si="16"/>
        <v>0</v>
      </c>
      <c r="L102" s="17">
        <f t="shared" si="17"/>
        <v>0</v>
      </c>
      <c r="M102" s="21">
        <f t="shared" si="12"/>
        <v>0</v>
      </c>
      <c r="N102" s="21">
        <f t="shared" si="18"/>
        <v>-10</v>
      </c>
      <c r="O102" s="21">
        <f t="shared" si="13"/>
        <v>-25</v>
      </c>
      <c r="P102" s="21">
        <f t="shared" si="14"/>
        <v>0</v>
      </c>
    </row>
    <row r="103" spans="9:16" x14ac:dyDescent="0.3">
      <c r="I103" s="21">
        <v>141</v>
      </c>
      <c r="J103" s="17">
        <f t="shared" si="15"/>
        <v>36</v>
      </c>
      <c r="K103" s="17">
        <f t="shared" si="16"/>
        <v>0</v>
      </c>
      <c r="L103" s="17">
        <f t="shared" si="17"/>
        <v>0</v>
      </c>
      <c r="M103" s="21">
        <f t="shared" si="12"/>
        <v>0</v>
      </c>
      <c r="N103" s="21">
        <f t="shared" si="18"/>
        <v>-11</v>
      </c>
      <c r="O103" s="21">
        <f t="shared" si="13"/>
        <v>-25</v>
      </c>
      <c r="P103" s="21">
        <f t="shared" si="14"/>
        <v>0</v>
      </c>
    </row>
    <row r="104" spans="9:16" x14ac:dyDescent="0.3">
      <c r="I104" s="21">
        <v>142</v>
      </c>
      <c r="J104" s="17">
        <f t="shared" si="15"/>
        <v>37</v>
      </c>
      <c r="K104" s="17">
        <f t="shared" si="16"/>
        <v>0</v>
      </c>
      <c r="L104" s="17">
        <f t="shared" si="17"/>
        <v>0</v>
      </c>
      <c r="M104" s="21">
        <f t="shared" si="12"/>
        <v>0</v>
      </c>
      <c r="N104" s="21">
        <f t="shared" si="18"/>
        <v>-12</v>
      </c>
      <c r="O104" s="21">
        <f t="shared" si="13"/>
        <v>-25</v>
      </c>
      <c r="P104" s="21">
        <f t="shared" si="14"/>
        <v>0</v>
      </c>
    </row>
    <row r="105" spans="9:16" x14ac:dyDescent="0.3">
      <c r="I105" s="21">
        <v>143</v>
      </c>
      <c r="J105" s="17">
        <f t="shared" si="15"/>
        <v>38</v>
      </c>
      <c r="K105" s="17">
        <f t="shared" si="16"/>
        <v>0</v>
      </c>
      <c r="L105" s="17">
        <f t="shared" si="17"/>
        <v>0</v>
      </c>
      <c r="M105" s="21">
        <f t="shared" si="12"/>
        <v>0</v>
      </c>
      <c r="N105" s="21">
        <f t="shared" si="18"/>
        <v>-13</v>
      </c>
      <c r="O105" s="21">
        <f t="shared" si="13"/>
        <v>-25</v>
      </c>
      <c r="P105" s="21">
        <f t="shared" si="14"/>
        <v>0</v>
      </c>
    </row>
    <row r="106" spans="9:16" x14ac:dyDescent="0.3">
      <c r="I106" s="21">
        <v>144</v>
      </c>
      <c r="J106" s="17">
        <f t="shared" si="15"/>
        <v>39</v>
      </c>
      <c r="K106" s="17">
        <f t="shared" si="16"/>
        <v>0</v>
      </c>
      <c r="L106" s="17">
        <f t="shared" si="17"/>
        <v>0</v>
      </c>
      <c r="M106" s="21">
        <f t="shared" si="12"/>
        <v>0</v>
      </c>
      <c r="N106" s="21">
        <f t="shared" si="18"/>
        <v>-14</v>
      </c>
      <c r="O106" s="21">
        <f t="shared" si="13"/>
        <v>-25</v>
      </c>
      <c r="P106" s="21">
        <f t="shared" si="14"/>
        <v>0</v>
      </c>
    </row>
    <row r="107" spans="9:16" x14ac:dyDescent="0.3">
      <c r="I107" s="21">
        <v>145</v>
      </c>
      <c r="J107" s="17">
        <f t="shared" si="15"/>
        <v>40</v>
      </c>
      <c r="K107" s="17">
        <f t="shared" si="16"/>
        <v>0</v>
      </c>
      <c r="L107" s="17">
        <f t="shared" si="17"/>
        <v>0</v>
      </c>
      <c r="M107" s="21">
        <f t="shared" si="12"/>
        <v>0</v>
      </c>
      <c r="N107" s="21">
        <f t="shared" si="18"/>
        <v>-15</v>
      </c>
      <c r="O107" s="21">
        <f t="shared" si="13"/>
        <v>-25</v>
      </c>
      <c r="P107" s="21">
        <f t="shared" si="14"/>
        <v>0</v>
      </c>
    </row>
    <row r="108" spans="9:16" x14ac:dyDescent="0.3">
      <c r="I108" s="21">
        <v>146</v>
      </c>
      <c r="J108" s="17">
        <f t="shared" si="15"/>
        <v>41</v>
      </c>
      <c r="K108" s="17">
        <f t="shared" si="16"/>
        <v>0</v>
      </c>
      <c r="L108" s="17">
        <f t="shared" si="17"/>
        <v>0</v>
      </c>
      <c r="M108" s="21">
        <f t="shared" si="12"/>
        <v>0</v>
      </c>
      <c r="N108" s="21">
        <f t="shared" si="18"/>
        <v>-16</v>
      </c>
      <c r="O108" s="21">
        <f t="shared" si="13"/>
        <v>-25</v>
      </c>
      <c r="P108" s="21">
        <f t="shared" si="14"/>
        <v>0</v>
      </c>
    </row>
    <row r="109" spans="9:16" x14ac:dyDescent="0.3">
      <c r="I109" s="21">
        <v>147</v>
      </c>
      <c r="J109" s="17">
        <f t="shared" si="15"/>
        <v>42</v>
      </c>
      <c r="K109" s="17">
        <f t="shared" si="16"/>
        <v>0</v>
      </c>
      <c r="L109" s="17">
        <f t="shared" si="17"/>
        <v>0</v>
      </c>
      <c r="M109" s="21">
        <f t="shared" si="12"/>
        <v>0</v>
      </c>
      <c r="N109" s="21">
        <f t="shared" si="18"/>
        <v>-17</v>
      </c>
      <c r="O109" s="21">
        <f t="shared" si="13"/>
        <v>-25</v>
      </c>
      <c r="P109" s="21">
        <f t="shared" si="14"/>
        <v>0</v>
      </c>
    </row>
    <row r="110" spans="9:16" x14ac:dyDescent="0.3">
      <c r="I110" s="21">
        <v>148</v>
      </c>
      <c r="J110" s="17">
        <f t="shared" si="15"/>
        <v>43</v>
      </c>
      <c r="K110" s="17">
        <f t="shared" si="16"/>
        <v>0</v>
      </c>
      <c r="L110" s="17">
        <f t="shared" si="17"/>
        <v>0</v>
      </c>
      <c r="M110" s="21">
        <f t="shared" si="12"/>
        <v>0</v>
      </c>
      <c r="N110" s="21">
        <f t="shared" si="18"/>
        <v>-18</v>
      </c>
      <c r="O110" s="21">
        <f t="shared" si="13"/>
        <v>-25</v>
      </c>
      <c r="P110" s="21">
        <f t="shared" si="14"/>
        <v>0</v>
      </c>
    </row>
    <row r="111" spans="9:16" x14ac:dyDescent="0.3">
      <c r="I111" s="21">
        <v>149</v>
      </c>
      <c r="J111" s="17">
        <f t="shared" si="15"/>
        <v>44</v>
      </c>
      <c r="K111" s="17">
        <f t="shared" si="16"/>
        <v>0</v>
      </c>
      <c r="L111" s="17">
        <f t="shared" si="17"/>
        <v>0</v>
      </c>
      <c r="M111" s="21">
        <f t="shared" si="12"/>
        <v>0</v>
      </c>
      <c r="N111" s="21">
        <f t="shared" si="18"/>
        <v>-19</v>
      </c>
      <c r="O111" s="21">
        <f t="shared" si="13"/>
        <v>-25</v>
      </c>
      <c r="P111" s="21">
        <f t="shared" si="14"/>
        <v>0</v>
      </c>
    </row>
    <row r="112" spans="9:16" x14ac:dyDescent="0.3">
      <c r="I112" s="21">
        <v>150</v>
      </c>
      <c r="J112" s="17">
        <f t="shared" si="15"/>
        <v>45</v>
      </c>
      <c r="K112" s="17">
        <f t="shared" si="16"/>
        <v>0</v>
      </c>
      <c r="L112" s="17">
        <f t="shared" si="17"/>
        <v>0</v>
      </c>
      <c r="M112" s="21">
        <f t="shared" si="12"/>
        <v>0</v>
      </c>
      <c r="N112" s="21">
        <f t="shared" si="18"/>
        <v>-20</v>
      </c>
      <c r="O112" s="21">
        <f t="shared" si="13"/>
        <v>-25</v>
      </c>
      <c r="P112" s="21">
        <f t="shared" si="14"/>
        <v>0</v>
      </c>
    </row>
    <row r="113" spans="9:16" x14ac:dyDescent="0.3">
      <c r="I113" s="21">
        <v>151</v>
      </c>
      <c r="J113" s="17">
        <f t="shared" si="15"/>
        <v>46</v>
      </c>
      <c r="K113" s="17">
        <f t="shared" si="16"/>
        <v>0</v>
      </c>
      <c r="L113" s="17">
        <f t="shared" si="17"/>
        <v>0</v>
      </c>
      <c r="M113" s="21">
        <f t="shared" si="12"/>
        <v>0</v>
      </c>
      <c r="N113" s="21">
        <f t="shared" si="18"/>
        <v>-21</v>
      </c>
      <c r="O113" s="21">
        <f t="shared" si="13"/>
        <v>-25</v>
      </c>
      <c r="P113" s="21">
        <f t="shared" si="14"/>
        <v>0</v>
      </c>
    </row>
    <row r="114" spans="9:16" x14ac:dyDescent="0.3">
      <c r="I114" s="21">
        <v>152</v>
      </c>
      <c r="J114" s="17">
        <f t="shared" si="15"/>
        <v>47</v>
      </c>
      <c r="K114" s="17">
        <f t="shared" si="16"/>
        <v>0</v>
      </c>
      <c r="L114" s="17">
        <f t="shared" si="17"/>
        <v>0</v>
      </c>
      <c r="M114" s="21">
        <f t="shared" si="12"/>
        <v>0</v>
      </c>
      <c r="N114" s="21">
        <f t="shared" si="18"/>
        <v>-22</v>
      </c>
      <c r="O114" s="21">
        <f t="shared" si="13"/>
        <v>-25</v>
      </c>
      <c r="P114" s="21">
        <f t="shared" si="14"/>
        <v>0</v>
      </c>
    </row>
    <row r="115" spans="9:16" x14ac:dyDescent="0.3">
      <c r="I115" s="21">
        <v>153</v>
      </c>
      <c r="J115" s="17">
        <f t="shared" si="15"/>
        <v>48</v>
      </c>
      <c r="K115" s="17">
        <f t="shared" si="16"/>
        <v>0</v>
      </c>
      <c r="L115" s="17">
        <f t="shared" si="17"/>
        <v>0</v>
      </c>
      <c r="M115" s="21">
        <f t="shared" si="12"/>
        <v>0</v>
      </c>
      <c r="N115" s="21">
        <f t="shared" si="18"/>
        <v>-23</v>
      </c>
      <c r="O115" s="21">
        <f t="shared" si="13"/>
        <v>-25</v>
      </c>
      <c r="P115" s="21">
        <f t="shared" si="14"/>
        <v>0</v>
      </c>
    </row>
    <row r="116" spans="9:16" x14ac:dyDescent="0.3">
      <c r="I116" s="21">
        <v>154</v>
      </c>
      <c r="J116" s="17">
        <f t="shared" si="15"/>
        <v>49</v>
      </c>
      <c r="K116" s="17">
        <f t="shared" si="16"/>
        <v>0</v>
      </c>
      <c r="L116" s="17">
        <f t="shared" si="17"/>
        <v>0</v>
      </c>
      <c r="M116" s="21">
        <f t="shared" si="12"/>
        <v>0</v>
      </c>
      <c r="N116" s="21">
        <f t="shared" si="18"/>
        <v>-24</v>
      </c>
      <c r="O116" s="21">
        <f t="shared" si="13"/>
        <v>-25</v>
      </c>
      <c r="P116" s="21">
        <f t="shared" si="14"/>
        <v>0</v>
      </c>
    </row>
    <row r="117" spans="9:16" x14ac:dyDescent="0.3">
      <c r="I117" s="21">
        <v>155</v>
      </c>
      <c r="J117" s="17">
        <f t="shared" si="15"/>
        <v>50</v>
      </c>
      <c r="K117" s="17">
        <f t="shared" si="16"/>
        <v>0</v>
      </c>
      <c r="L117" s="17">
        <f t="shared" si="17"/>
        <v>0</v>
      </c>
      <c r="M117" s="21">
        <f t="shared" si="12"/>
        <v>0</v>
      </c>
      <c r="N117" s="21">
        <f t="shared" si="18"/>
        <v>-25</v>
      </c>
      <c r="O117" s="21">
        <f t="shared" si="13"/>
        <v>-25</v>
      </c>
      <c r="P117" s="21">
        <f t="shared" si="14"/>
        <v>0</v>
      </c>
    </row>
    <row r="118" spans="9:16" x14ac:dyDescent="0.3">
      <c r="I118" s="21">
        <v>156</v>
      </c>
      <c r="J118" s="17">
        <f t="shared" si="15"/>
        <v>51</v>
      </c>
      <c r="K118" s="17">
        <f t="shared" si="16"/>
        <v>0</v>
      </c>
      <c r="L118" s="17">
        <f t="shared" si="17"/>
        <v>0</v>
      </c>
      <c r="M118" s="21">
        <f t="shared" si="12"/>
        <v>0</v>
      </c>
      <c r="N118" s="21">
        <f t="shared" si="18"/>
        <v>-26</v>
      </c>
      <c r="O118" s="21">
        <f t="shared" si="13"/>
        <v>-25</v>
      </c>
      <c r="P118" s="21">
        <f t="shared" si="14"/>
        <v>0</v>
      </c>
    </row>
    <row r="119" spans="9:16" x14ac:dyDescent="0.3">
      <c r="I119" s="21">
        <v>157</v>
      </c>
      <c r="J119" s="17">
        <f t="shared" si="15"/>
        <v>52</v>
      </c>
      <c r="K119" s="17">
        <f t="shared" si="16"/>
        <v>0</v>
      </c>
      <c r="L119" s="17">
        <f t="shared" si="17"/>
        <v>0</v>
      </c>
      <c r="M119" s="21">
        <f t="shared" si="12"/>
        <v>0</v>
      </c>
      <c r="N119" s="21">
        <f t="shared" si="18"/>
        <v>-27</v>
      </c>
      <c r="O119" s="21">
        <f t="shared" si="13"/>
        <v>-25</v>
      </c>
      <c r="P119" s="21">
        <f t="shared" si="14"/>
        <v>0</v>
      </c>
    </row>
    <row r="120" spans="9:16" x14ac:dyDescent="0.3">
      <c r="I120" s="21">
        <v>158</v>
      </c>
      <c r="J120" s="17">
        <f t="shared" si="15"/>
        <v>53</v>
      </c>
      <c r="K120" s="17">
        <f t="shared" si="16"/>
        <v>0</v>
      </c>
      <c r="L120" s="17">
        <f t="shared" si="17"/>
        <v>0</v>
      </c>
      <c r="M120" s="21">
        <f t="shared" si="12"/>
        <v>0</v>
      </c>
      <c r="N120" s="21">
        <f t="shared" si="18"/>
        <v>-28</v>
      </c>
      <c r="O120" s="21">
        <f t="shared" si="13"/>
        <v>-25</v>
      </c>
      <c r="P120" s="21">
        <f t="shared" si="14"/>
        <v>0</v>
      </c>
    </row>
    <row r="121" spans="9:16" x14ac:dyDescent="0.3">
      <c r="I121" s="21">
        <v>159</v>
      </c>
      <c r="J121" s="17">
        <f t="shared" si="15"/>
        <v>54</v>
      </c>
      <c r="K121" s="17">
        <f t="shared" si="16"/>
        <v>0</v>
      </c>
      <c r="L121" s="17">
        <f t="shared" si="17"/>
        <v>0</v>
      </c>
      <c r="M121" s="21">
        <f t="shared" si="12"/>
        <v>0</v>
      </c>
      <c r="N121" s="21">
        <f t="shared" si="18"/>
        <v>-29</v>
      </c>
      <c r="O121" s="21">
        <f t="shared" si="13"/>
        <v>-25</v>
      </c>
      <c r="P121" s="21">
        <f t="shared" si="14"/>
        <v>0</v>
      </c>
    </row>
    <row r="122" spans="9:16" x14ac:dyDescent="0.3">
      <c r="I122" s="21">
        <v>160</v>
      </c>
      <c r="J122" s="17">
        <f t="shared" si="15"/>
        <v>55</v>
      </c>
      <c r="K122" s="17">
        <f t="shared" si="16"/>
        <v>0</v>
      </c>
      <c r="L122" s="17">
        <f t="shared" si="17"/>
        <v>0</v>
      </c>
      <c r="M122" s="21">
        <f t="shared" si="12"/>
        <v>0</v>
      </c>
      <c r="N122" s="21">
        <f t="shared" si="18"/>
        <v>-30</v>
      </c>
      <c r="O122" s="21">
        <f t="shared" si="13"/>
        <v>-25</v>
      </c>
      <c r="P122" s="21">
        <f t="shared" si="14"/>
        <v>0</v>
      </c>
    </row>
    <row r="123" spans="9:16" x14ac:dyDescent="0.3">
      <c r="I123" s="21">
        <v>161</v>
      </c>
      <c r="J123" s="17">
        <f t="shared" si="15"/>
        <v>56</v>
      </c>
      <c r="K123" s="17">
        <f t="shared" si="16"/>
        <v>0</v>
      </c>
      <c r="L123" s="17">
        <f t="shared" si="17"/>
        <v>0</v>
      </c>
      <c r="M123" s="21">
        <f t="shared" si="12"/>
        <v>0</v>
      </c>
      <c r="N123" s="21">
        <f t="shared" si="18"/>
        <v>-31</v>
      </c>
      <c r="O123" s="21">
        <f t="shared" si="13"/>
        <v>-25</v>
      </c>
      <c r="P123" s="21">
        <f t="shared" si="14"/>
        <v>0</v>
      </c>
    </row>
    <row r="124" spans="9:16" x14ac:dyDescent="0.3">
      <c r="I124" s="21">
        <v>162</v>
      </c>
      <c r="J124" s="17">
        <f t="shared" si="15"/>
        <v>57</v>
      </c>
      <c r="K124" s="17">
        <f t="shared" si="16"/>
        <v>0</v>
      </c>
      <c r="L124" s="17">
        <f t="shared" si="17"/>
        <v>0</v>
      </c>
      <c r="M124" s="21">
        <f t="shared" si="12"/>
        <v>0</v>
      </c>
      <c r="N124" s="21">
        <f t="shared" si="18"/>
        <v>-32</v>
      </c>
      <c r="O124" s="21">
        <f t="shared" si="13"/>
        <v>-25</v>
      </c>
      <c r="P124" s="21">
        <f t="shared" si="14"/>
        <v>0</v>
      </c>
    </row>
    <row r="125" spans="9:16" x14ac:dyDescent="0.3">
      <c r="I125" s="21">
        <v>163</v>
      </c>
      <c r="J125" s="17">
        <f t="shared" si="15"/>
        <v>58</v>
      </c>
      <c r="K125" s="17">
        <f t="shared" si="16"/>
        <v>0</v>
      </c>
      <c r="L125" s="17">
        <f t="shared" si="17"/>
        <v>0</v>
      </c>
      <c r="M125" s="21">
        <f t="shared" si="12"/>
        <v>0</v>
      </c>
      <c r="N125" s="21">
        <f t="shared" si="18"/>
        <v>-33</v>
      </c>
      <c r="O125" s="21">
        <f t="shared" si="13"/>
        <v>-25</v>
      </c>
      <c r="P125" s="21">
        <f t="shared" si="14"/>
        <v>0</v>
      </c>
    </row>
    <row r="126" spans="9:16" x14ac:dyDescent="0.3">
      <c r="I126" s="21">
        <v>164</v>
      </c>
      <c r="J126" s="17">
        <f t="shared" si="15"/>
        <v>59</v>
      </c>
      <c r="K126" s="17">
        <f t="shared" si="16"/>
        <v>0</v>
      </c>
      <c r="L126" s="17">
        <f t="shared" si="17"/>
        <v>0</v>
      </c>
      <c r="M126" s="21">
        <f t="shared" si="12"/>
        <v>0</v>
      </c>
      <c r="N126" s="21">
        <f t="shared" si="18"/>
        <v>-34</v>
      </c>
      <c r="O126" s="21">
        <f t="shared" si="13"/>
        <v>-25</v>
      </c>
      <c r="P126" s="21">
        <f t="shared" si="14"/>
        <v>0</v>
      </c>
    </row>
    <row r="127" spans="9:16" x14ac:dyDescent="0.3">
      <c r="I127" s="21">
        <v>165</v>
      </c>
      <c r="J127" s="17">
        <f t="shared" si="15"/>
        <v>60</v>
      </c>
      <c r="K127" s="17">
        <f t="shared" si="16"/>
        <v>0</v>
      </c>
      <c r="L127" s="17">
        <f t="shared" si="17"/>
        <v>0</v>
      </c>
      <c r="M127" s="21">
        <f t="shared" si="12"/>
        <v>0</v>
      </c>
      <c r="N127" s="21">
        <f t="shared" si="18"/>
        <v>-35</v>
      </c>
      <c r="O127" s="21">
        <f t="shared" si="13"/>
        <v>-25</v>
      </c>
      <c r="P127" s="21">
        <f t="shared" si="14"/>
        <v>0</v>
      </c>
    </row>
    <row r="128" spans="9:16" x14ac:dyDescent="0.3">
      <c r="I128" s="21">
        <v>166</v>
      </c>
      <c r="J128" s="17">
        <f t="shared" si="15"/>
        <v>61</v>
      </c>
      <c r="K128" s="17">
        <f t="shared" si="16"/>
        <v>0</v>
      </c>
      <c r="L128" s="17">
        <f t="shared" si="17"/>
        <v>0</v>
      </c>
      <c r="M128" s="21">
        <f t="shared" ref="M128:M159" si="19">(I128&lt;=$D$48)*$C$48</f>
        <v>0</v>
      </c>
      <c r="N128" s="21">
        <f t="shared" si="18"/>
        <v>-36</v>
      </c>
      <c r="O128" s="21">
        <f t="shared" ref="O128:O159" si="20">(I128&gt;=$D$50)*$C$50</f>
        <v>-25</v>
      </c>
      <c r="P128" s="21">
        <f t="shared" ref="P128:P159" si="21">SUM(J128:O128)</f>
        <v>0</v>
      </c>
    </row>
    <row r="129" spans="9:16" x14ac:dyDescent="0.3">
      <c r="I129" s="21">
        <v>167</v>
      </c>
      <c r="J129" s="17">
        <f t="shared" si="15"/>
        <v>62</v>
      </c>
      <c r="K129" s="17">
        <f t="shared" si="16"/>
        <v>0</v>
      </c>
      <c r="L129" s="17">
        <f t="shared" si="17"/>
        <v>0</v>
      </c>
      <c r="M129" s="21">
        <f t="shared" si="19"/>
        <v>0</v>
      </c>
      <c r="N129" s="21">
        <f t="shared" si="18"/>
        <v>-37</v>
      </c>
      <c r="O129" s="21">
        <f t="shared" si="20"/>
        <v>-25</v>
      </c>
      <c r="P129" s="21">
        <f t="shared" si="21"/>
        <v>0</v>
      </c>
    </row>
    <row r="130" spans="9:16" x14ac:dyDescent="0.3">
      <c r="I130" s="21">
        <v>168</v>
      </c>
      <c r="J130" s="17">
        <f t="shared" si="15"/>
        <v>63</v>
      </c>
      <c r="K130" s="17">
        <f t="shared" si="16"/>
        <v>0</v>
      </c>
      <c r="L130" s="17">
        <f t="shared" si="17"/>
        <v>0</v>
      </c>
      <c r="M130" s="21">
        <f t="shared" si="19"/>
        <v>0</v>
      </c>
      <c r="N130" s="21">
        <f t="shared" si="18"/>
        <v>-38</v>
      </c>
      <c r="O130" s="21">
        <f t="shared" si="20"/>
        <v>-25</v>
      </c>
      <c r="P130" s="21">
        <f t="shared" si="21"/>
        <v>0</v>
      </c>
    </row>
    <row r="131" spans="9:16" x14ac:dyDescent="0.3">
      <c r="I131" s="21">
        <v>169</v>
      </c>
      <c r="J131" s="17">
        <f t="shared" si="15"/>
        <v>64</v>
      </c>
      <c r="K131" s="17">
        <f t="shared" si="16"/>
        <v>0</v>
      </c>
      <c r="L131" s="17">
        <f t="shared" si="17"/>
        <v>0</v>
      </c>
      <c r="M131" s="21">
        <f t="shared" si="19"/>
        <v>0</v>
      </c>
      <c r="N131" s="21">
        <f t="shared" si="18"/>
        <v>-39</v>
      </c>
      <c r="O131" s="21">
        <f t="shared" si="20"/>
        <v>-25</v>
      </c>
      <c r="P131" s="21">
        <f t="shared" si="21"/>
        <v>0</v>
      </c>
    </row>
    <row r="132" spans="9:16" x14ac:dyDescent="0.3">
      <c r="I132" s="21">
        <v>170</v>
      </c>
      <c r="J132" s="17">
        <f t="shared" si="15"/>
        <v>65</v>
      </c>
      <c r="K132" s="17">
        <f t="shared" si="16"/>
        <v>0</v>
      </c>
      <c r="L132" s="17">
        <f t="shared" si="17"/>
        <v>0</v>
      </c>
      <c r="M132" s="21">
        <f t="shared" si="19"/>
        <v>0</v>
      </c>
      <c r="N132" s="21">
        <f t="shared" si="18"/>
        <v>-40</v>
      </c>
      <c r="O132" s="21">
        <f t="shared" si="20"/>
        <v>-25</v>
      </c>
      <c r="P132" s="21">
        <f t="shared" si="21"/>
        <v>0</v>
      </c>
    </row>
    <row r="133" spans="9:16" x14ac:dyDescent="0.3">
      <c r="I133" s="21">
        <v>171</v>
      </c>
      <c r="J133" s="17">
        <f t="shared" si="15"/>
        <v>66</v>
      </c>
      <c r="K133" s="17">
        <f t="shared" si="16"/>
        <v>0</v>
      </c>
      <c r="L133" s="17">
        <f t="shared" si="17"/>
        <v>0</v>
      </c>
      <c r="M133" s="21">
        <f t="shared" si="19"/>
        <v>0</v>
      </c>
      <c r="N133" s="21">
        <f t="shared" si="18"/>
        <v>-41</v>
      </c>
      <c r="O133" s="21">
        <f t="shared" si="20"/>
        <v>-25</v>
      </c>
      <c r="P133" s="21">
        <f t="shared" si="21"/>
        <v>0</v>
      </c>
    </row>
    <row r="134" spans="9:16" x14ac:dyDescent="0.3">
      <c r="I134" s="21">
        <v>172</v>
      </c>
      <c r="J134" s="17">
        <f t="shared" si="15"/>
        <v>67</v>
      </c>
      <c r="K134" s="17">
        <f t="shared" si="16"/>
        <v>0</v>
      </c>
      <c r="L134" s="17">
        <f t="shared" si="17"/>
        <v>0</v>
      </c>
      <c r="M134" s="21">
        <f t="shared" si="19"/>
        <v>0</v>
      </c>
      <c r="N134" s="21">
        <f t="shared" si="18"/>
        <v>-42</v>
      </c>
      <c r="O134" s="21">
        <f t="shared" si="20"/>
        <v>-25</v>
      </c>
      <c r="P134" s="21">
        <f t="shared" si="21"/>
        <v>0</v>
      </c>
    </row>
    <row r="135" spans="9:16" x14ac:dyDescent="0.3">
      <c r="I135" s="21">
        <v>173</v>
      </c>
      <c r="J135" s="17">
        <f t="shared" si="15"/>
        <v>68</v>
      </c>
      <c r="K135" s="17">
        <f t="shared" si="16"/>
        <v>0</v>
      </c>
      <c r="L135" s="17">
        <f t="shared" si="17"/>
        <v>0</v>
      </c>
      <c r="M135" s="21">
        <f t="shared" si="19"/>
        <v>0</v>
      </c>
      <c r="N135" s="21">
        <f t="shared" si="18"/>
        <v>-43</v>
      </c>
      <c r="O135" s="21">
        <f t="shared" si="20"/>
        <v>-25</v>
      </c>
      <c r="P135" s="21">
        <f t="shared" si="21"/>
        <v>0</v>
      </c>
    </row>
    <row r="136" spans="9:16" x14ac:dyDescent="0.3">
      <c r="I136" s="21">
        <v>174</v>
      </c>
      <c r="J136" s="17">
        <f t="shared" si="15"/>
        <v>69</v>
      </c>
      <c r="K136" s="17">
        <f t="shared" si="16"/>
        <v>0</v>
      </c>
      <c r="L136" s="17">
        <f t="shared" si="17"/>
        <v>0</v>
      </c>
      <c r="M136" s="21">
        <f t="shared" si="19"/>
        <v>0</v>
      </c>
      <c r="N136" s="21">
        <f t="shared" si="18"/>
        <v>-44</v>
      </c>
      <c r="O136" s="21">
        <f t="shared" si="20"/>
        <v>-25</v>
      </c>
      <c r="P136" s="21">
        <f t="shared" si="21"/>
        <v>0</v>
      </c>
    </row>
    <row r="137" spans="9:16" x14ac:dyDescent="0.3">
      <c r="I137" s="21">
        <v>175</v>
      </c>
      <c r="J137" s="17">
        <f t="shared" si="15"/>
        <v>70</v>
      </c>
      <c r="K137" s="17">
        <f t="shared" si="16"/>
        <v>0</v>
      </c>
      <c r="L137" s="17">
        <f t="shared" si="17"/>
        <v>0</v>
      </c>
      <c r="M137" s="21">
        <f t="shared" si="19"/>
        <v>0</v>
      </c>
      <c r="N137" s="21">
        <f t="shared" si="18"/>
        <v>-45</v>
      </c>
      <c r="O137" s="21">
        <f t="shared" si="20"/>
        <v>-25</v>
      </c>
      <c r="P137" s="21">
        <f t="shared" si="21"/>
        <v>0</v>
      </c>
    </row>
    <row r="138" spans="9:16" x14ac:dyDescent="0.3">
      <c r="I138" s="21">
        <v>176</v>
      </c>
      <c r="J138" s="17">
        <f t="shared" si="15"/>
        <v>71</v>
      </c>
      <c r="K138" s="17">
        <f t="shared" si="16"/>
        <v>0</v>
      </c>
      <c r="L138" s="17">
        <f t="shared" si="17"/>
        <v>0</v>
      </c>
      <c r="M138" s="21">
        <f t="shared" si="19"/>
        <v>0</v>
      </c>
      <c r="N138" s="21">
        <f t="shared" si="18"/>
        <v>-46</v>
      </c>
      <c r="O138" s="21">
        <f t="shared" si="20"/>
        <v>-25</v>
      </c>
      <c r="P138" s="21">
        <f t="shared" si="21"/>
        <v>0</v>
      </c>
    </row>
    <row r="139" spans="9:16" x14ac:dyDescent="0.3">
      <c r="I139" s="21">
        <v>177</v>
      </c>
      <c r="J139" s="17">
        <f t="shared" si="15"/>
        <v>72</v>
      </c>
      <c r="K139" s="17">
        <f t="shared" si="16"/>
        <v>0</v>
      </c>
      <c r="L139" s="17">
        <f t="shared" si="17"/>
        <v>0</v>
      </c>
      <c r="M139" s="21">
        <f t="shared" si="19"/>
        <v>0</v>
      </c>
      <c r="N139" s="21">
        <f t="shared" si="18"/>
        <v>-47</v>
      </c>
      <c r="O139" s="21">
        <f t="shared" si="20"/>
        <v>-25</v>
      </c>
      <c r="P139" s="21">
        <f t="shared" si="21"/>
        <v>0</v>
      </c>
    </row>
    <row r="140" spans="9:16" x14ac:dyDescent="0.3">
      <c r="I140" s="21">
        <v>178</v>
      </c>
      <c r="J140" s="17">
        <f t="shared" si="15"/>
        <v>73</v>
      </c>
      <c r="K140" s="17">
        <f t="shared" si="16"/>
        <v>0</v>
      </c>
      <c r="L140" s="17">
        <f t="shared" si="17"/>
        <v>0</v>
      </c>
      <c r="M140" s="21">
        <f t="shared" si="19"/>
        <v>0</v>
      </c>
      <c r="N140" s="21">
        <f t="shared" si="18"/>
        <v>-48</v>
      </c>
      <c r="O140" s="21">
        <f t="shared" si="20"/>
        <v>-25</v>
      </c>
      <c r="P140" s="21">
        <f t="shared" si="21"/>
        <v>0</v>
      </c>
    </row>
    <row r="141" spans="9:16" x14ac:dyDescent="0.3">
      <c r="I141" s="21">
        <v>179</v>
      </c>
      <c r="J141" s="17">
        <f t="shared" si="15"/>
        <v>74</v>
      </c>
      <c r="K141" s="17">
        <f t="shared" si="16"/>
        <v>0</v>
      </c>
      <c r="L141" s="17">
        <f t="shared" si="17"/>
        <v>0</v>
      </c>
      <c r="M141" s="21">
        <f t="shared" si="19"/>
        <v>0</v>
      </c>
      <c r="N141" s="21">
        <f t="shared" si="18"/>
        <v>-49</v>
      </c>
      <c r="O141" s="21">
        <f t="shared" si="20"/>
        <v>-25</v>
      </c>
      <c r="P141" s="21">
        <f t="shared" si="21"/>
        <v>0</v>
      </c>
    </row>
    <row r="142" spans="9:16" x14ac:dyDescent="0.3">
      <c r="I142" s="21">
        <v>180</v>
      </c>
      <c r="J142" s="17">
        <f t="shared" si="15"/>
        <v>75</v>
      </c>
      <c r="K142" s="17">
        <f t="shared" si="16"/>
        <v>0</v>
      </c>
      <c r="L142" s="17">
        <f t="shared" si="17"/>
        <v>0</v>
      </c>
      <c r="M142" s="21">
        <f t="shared" si="19"/>
        <v>0</v>
      </c>
      <c r="N142" s="21">
        <f t="shared" si="18"/>
        <v>-50</v>
      </c>
      <c r="O142" s="21">
        <f t="shared" si="20"/>
        <v>-25</v>
      </c>
      <c r="P142" s="21">
        <f t="shared" si="21"/>
        <v>0</v>
      </c>
    </row>
    <row r="143" spans="9:16" x14ac:dyDescent="0.3">
      <c r="I143" s="21">
        <v>181</v>
      </c>
      <c r="J143" s="17">
        <f t="shared" si="15"/>
        <v>76</v>
      </c>
      <c r="K143" s="17">
        <f t="shared" si="16"/>
        <v>0</v>
      </c>
      <c r="L143" s="17">
        <f t="shared" si="17"/>
        <v>0</v>
      </c>
      <c r="M143" s="21">
        <f t="shared" si="19"/>
        <v>0</v>
      </c>
      <c r="N143" s="21">
        <f t="shared" si="18"/>
        <v>-51</v>
      </c>
      <c r="O143" s="21">
        <f t="shared" si="20"/>
        <v>-25</v>
      </c>
      <c r="P143" s="21">
        <f t="shared" si="21"/>
        <v>0</v>
      </c>
    </row>
    <row r="144" spans="9:16" x14ac:dyDescent="0.3">
      <c r="I144" s="21">
        <v>182</v>
      </c>
      <c r="J144" s="17">
        <f t="shared" si="15"/>
        <v>77</v>
      </c>
      <c r="K144" s="17">
        <f t="shared" si="16"/>
        <v>0</v>
      </c>
      <c r="L144" s="17">
        <f t="shared" si="17"/>
        <v>0</v>
      </c>
      <c r="M144" s="21">
        <f t="shared" si="19"/>
        <v>0</v>
      </c>
      <c r="N144" s="21">
        <f t="shared" si="18"/>
        <v>-52</v>
      </c>
      <c r="O144" s="21">
        <f t="shared" si="20"/>
        <v>-25</v>
      </c>
      <c r="P144" s="21">
        <f t="shared" si="21"/>
        <v>0</v>
      </c>
    </row>
    <row r="145" spans="9:16" x14ac:dyDescent="0.3">
      <c r="I145" s="21">
        <v>183</v>
      </c>
      <c r="J145" s="17">
        <f t="shared" si="15"/>
        <v>78</v>
      </c>
      <c r="K145" s="17">
        <f t="shared" si="16"/>
        <v>0</v>
      </c>
      <c r="L145" s="17">
        <f t="shared" si="17"/>
        <v>0</v>
      </c>
      <c r="M145" s="21">
        <f t="shared" si="19"/>
        <v>0</v>
      </c>
      <c r="N145" s="21">
        <f t="shared" si="18"/>
        <v>-53</v>
      </c>
      <c r="O145" s="21">
        <f t="shared" si="20"/>
        <v>-25</v>
      </c>
      <c r="P145" s="21">
        <f t="shared" si="21"/>
        <v>0</v>
      </c>
    </row>
    <row r="146" spans="9:16" x14ac:dyDescent="0.3">
      <c r="I146" s="21">
        <v>184</v>
      </c>
      <c r="J146" s="17">
        <f t="shared" si="15"/>
        <v>79</v>
      </c>
      <c r="K146" s="17">
        <f t="shared" si="16"/>
        <v>0</v>
      </c>
      <c r="L146" s="17">
        <f t="shared" si="17"/>
        <v>0</v>
      </c>
      <c r="M146" s="21">
        <f t="shared" si="19"/>
        <v>0</v>
      </c>
      <c r="N146" s="21">
        <f t="shared" si="18"/>
        <v>-54</v>
      </c>
      <c r="O146" s="21">
        <f t="shared" si="20"/>
        <v>-25</v>
      </c>
      <c r="P146" s="21">
        <f t="shared" si="21"/>
        <v>0</v>
      </c>
    </row>
    <row r="147" spans="9:16" x14ac:dyDescent="0.3">
      <c r="I147" s="21">
        <v>185</v>
      </c>
      <c r="J147" s="17">
        <f t="shared" si="15"/>
        <v>80</v>
      </c>
      <c r="K147" s="17">
        <f t="shared" si="16"/>
        <v>0</v>
      </c>
      <c r="L147" s="17">
        <f t="shared" si="17"/>
        <v>0</v>
      </c>
      <c r="M147" s="21">
        <f t="shared" si="19"/>
        <v>0</v>
      </c>
      <c r="N147" s="21">
        <f t="shared" si="18"/>
        <v>-55</v>
      </c>
      <c r="O147" s="21">
        <f t="shared" si="20"/>
        <v>-25</v>
      </c>
      <c r="P147" s="21">
        <f t="shared" si="21"/>
        <v>0</v>
      </c>
    </row>
    <row r="148" spans="9:16" x14ac:dyDescent="0.3">
      <c r="I148" s="21">
        <v>186</v>
      </c>
      <c r="J148" s="17">
        <f t="shared" si="15"/>
        <v>81</v>
      </c>
      <c r="K148" s="17">
        <f t="shared" si="16"/>
        <v>0</v>
      </c>
      <c r="L148" s="17">
        <f t="shared" si="17"/>
        <v>0</v>
      </c>
      <c r="M148" s="21">
        <f t="shared" si="19"/>
        <v>0</v>
      </c>
      <c r="N148" s="21">
        <f t="shared" si="18"/>
        <v>-56</v>
      </c>
      <c r="O148" s="21">
        <f t="shared" si="20"/>
        <v>-25</v>
      </c>
      <c r="P148" s="21">
        <f t="shared" si="21"/>
        <v>0</v>
      </c>
    </row>
    <row r="149" spans="9:16" x14ac:dyDescent="0.3">
      <c r="I149" s="21">
        <v>187</v>
      </c>
      <c r="J149" s="17">
        <f t="shared" si="15"/>
        <v>82</v>
      </c>
      <c r="K149" s="17">
        <f t="shared" si="16"/>
        <v>0</v>
      </c>
      <c r="L149" s="17">
        <f t="shared" si="17"/>
        <v>0</v>
      </c>
      <c r="M149" s="21">
        <f t="shared" si="19"/>
        <v>0</v>
      </c>
      <c r="N149" s="21">
        <f t="shared" si="18"/>
        <v>-57</v>
      </c>
      <c r="O149" s="21">
        <f t="shared" si="20"/>
        <v>-25</v>
      </c>
      <c r="P149" s="21">
        <f t="shared" si="21"/>
        <v>0</v>
      </c>
    </row>
    <row r="150" spans="9:16" x14ac:dyDescent="0.3">
      <c r="I150" s="21">
        <v>188</v>
      </c>
      <c r="J150" s="17">
        <f t="shared" si="15"/>
        <v>83</v>
      </c>
      <c r="K150" s="17">
        <f t="shared" si="16"/>
        <v>0</v>
      </c>
      <c r="L150" s="17">
        <f t="shared" si="17"/>
        <v>0</v>
      </c>
      <c r="M150" s="21">
        <f t="shared" si="19"/>
        <v>0</v>
      </c>
      <c r="N150" s="21">
        <f t="shared" si="18"/>
        <v>-58</v>
      </c>
      <c r="O150" s="21">
        <f t="shared" si="20"/>
        <v>-25</v>
      </c>
      <c r="P150" s="21">
        <f t="shared" si="21"/>
        <v>0</v>
      </c>
    </row>
    <row r="151" spans="9:16" x14ac:dyDescent="0.3">
      <c r="I151" s="21">
        <v>189</v>
      </c>
      <c r="J151" s="17">
        <f t="shared" si="15"/>
        <v>84</v>
      </c>
      <c r="K151" s="17">
        <f t="shared" si="16"/>
        <v>0</v>
      </c>
      <c r="L151" s="17">
        <f t="shared" si="17"/>
        <v>0</v>
      </c>
      <c r="M151" s="21">
        <f t="shared" si="19"/>
        <v>0</v>
      </c>
      <c r="N151" s="21">
        <f t="shared" si="18"/>
        <v>-59</v>
      </c>
      <c r="O151" s="21">
        <f t="shared" si="20"/>
        <v>-25</v>
      </c>
      <c r="P151" s="21">
        <f t="shared" si="21"/>
        <v>0</v>
      </c>
    </row>
    <row r="152" spans="9:16" x14ac:dyDescent="0.3">
      <c r="I152" s="21">
        <v>190</v>
      </c>
      <c r="J152" s="17">
        <f t="shared" si="15"/>
        <v>85</v>
      </c>
      <c r="K152" s="17">
        <f t="shared" si="16"/>
        <v>0</v>
      </c>
      <c r="L152" s="17">
        <f t="shared" si="17"/>
        <v>0</v>
      </c>
      <c r="M152" s="21">
        <f t="shared" si="19"/>
        <v>0</v>
      </c>
      <c r="N152" s="21">
        <f t="shared" si="18"/>
        <v>-60</v>
      </c>
      <c r="O152" s="21">
        <f t="shared" si="20"/>
        <v>-25</v>
      </c>
      <c r="P152" s="21">
        <f t="shared" si="21"/>
        <v>0</v>
      </c>
    </row>
    <row r="153" spans="9:16" x14ac:dyDescent="0.3">
      <c r="I153" s="21">
        <v>191</v>
      </c>
      <c r="J153" s="17">
        <f t="shared" si="15"/>
        <v>86</v>
      </c>
      <c r="K153" s="17">
        <f t="shared" si="16"/>
        <v>0</v>
      </c>
      <c r="L153" s="17">
        <f t="shared" si="17"/>
        <v>0</v>
      </c>
      <c r="M153" s="21">
        <f t="shared" si="19"/>
        <v>0</v>
      </c>
      <c r="N153" s="21">
        <f t="shared" si="18"/>
        <v>-61</v>
      </c>
      <c r="O153" s="21">
        <f t="shared" si="20"/>
        <v>-25</v>
      </c>
      <c r="P153" s="21">
        <f t="shared" si="21"/>
        <v>0</v>
      </c>
    </row>
    <row r="154" spans="9:16" x14ac:dyDescent="0.3">
      <c r="I154" s="21">
        <v>192</v>
      </c>
      <c r="J154" s="17">
        <f t="shared" si="15"/>
        <v>87</v>
      </c>
      <c r="K154" s="17">
        <f t="shared" si="16"/>
        <v>0</v>
      </c>
      <c r="L154" s="17">
        <f t="shared" si="17"/>
        <v>0</v>
      </c>
      <c r="M154" s="21">
        <f t="shared" si="19"/>
        <v>0</v>
      </c>
      <c r="N154" s="21">
        <f t="shared" si="18"/>
        <v>-62</v>
      </c>
      <c r="O154" s="21">
        <f t="shared" si="20"/>
        <v>-25</v>
      </c>
      <c r="P154" s="21">
        <f t="shared" si="21"/>
        <v>0</v>
      </c>
    </row>
    <row r="155" spans="9:16" x14ac:dyDescent="0.3">
      <c r="I155" s="21">
        <v>193</v>
      </c>
      <c r="J155" s="17">
        <f t="shared" si="15"/>
        <v>88</v>
      </c>
      <c r="K155" s="17">
        <f t="shared" si="16"/>
        <v>0</v>
      </c>
      <c r="L155" s="17">
        <f t="shared" si="17"/>
        <v>0</v>
      </c>
      <c r="M155" s="21">
        <f t="shared" si="19"/>
        <v>0</v>
      </c>
      <c r="N155" s="21">
        <f t="shared" si="18"/>
        <v>-63</v>
      </c>
      <c r="O155" s="21">
        <f t="shared" si="20"/>
        <v>-25</v>
      </c>
      <c r="P155" s="21">
        <f t="shared" si="21"/>
        <v>0</v>
      </c>
    </row>
    <row r="156" spans="9:16" x14ac:dyDescent="0.3">
      <c r="I156" s="21">
        <v>194</v>
      </c>
      <c r="J156" s="17">
        <f t="shared" si="15"/>
        <v>89</v>
      </c>
      <c r="K156" s="17">
        <f t="shared" si="16"/>
        <v>0</v>
      </c>
      <c r="L156" s="17">
        <f t="shared" si="17"/>
        <v>0</v>
      </c>
      <c r="M156" s="21">
        <f t="shared" si="19"/>
        <v>0</v>
      </c>
      <c r="N156" s="21">
        <f t="shared" si="18"/>
        <v>-64</v>
      </c>
      <c r="O156" s="21">
        <f t="shared" si="20"/>
        <v>-25</v>
      </c>
      <c r="P156" s="21">
        <f t="shared" si="21"/>
        <v>0</v>
      </c>
    </row>
    <row r="157" spans="9:16" x14ac:dyDescent="0.3">
      <c r="I157" s="21">
        <v>195</v>
      </c>
      <c r="J157" s="17">
        <f t="shared" si="15"/>
        <v>90</v>
      </c>
      <c r="K157" s="17">
        <f t="shared" si="16"/>
        <v>0</v>
      </c>
      <c r="L157" s="17">
        <f t="shared" si="17"/>
        <v>0</v>
      </c>
      <c r="M157" s="21">
        <f t="shared" si="19"/>
        <v>0</v>
      </c>
      <c r="N157" s="21">
        <f t="shared" si="18"/>
        <v>-65</v>
      </c>
      <c r="O157" s="21">
        <f t="shared" si="20"/>
        <v>-25</v>
      </c>
      <c r="P157" s="21">
        <f t="shared" si="21"/>
        <v>0</v>
      </c>
    </row>
    <row r="158" spans="9:16" x14ac:dyDescent="0.3">
      <c r="I158" s="21">
        <v>196</v>
      </c>
      <c r="J158" s="17">
        <f t="shared" si="15"/>
        <v>91</v>
      </c>
      <c r="K158" s="17">
        <f t="shared" si="16"/>
        <v>0</v>
      </c>
      <c r="L158" s="17">
        <f t="shared" si="17"/>
        <v>0</v>
      </c>
      <c r="M158" s="21">
        <f t="shared" si="19"/>
        <v>0</v>
      </c>
      <c r="N158" s="21">
        <f t="shared" si="18"/>
        <v>-66</v>
      </c>
      <c r="O158" s="21">
        <f t="shared" si="20"/>
        <v>-25</v>
      </c>
      <c r="P158" s="21">
        <f t="shared" si="21"/>
        <v>0</v>
      </c>
    </row>
    <row r="159" spans="9:16" x14ac:dyDescent="0.3">
      <c r="I159" s="21">
        <v>197</v>
      </c>
      <c r="J159" s="17">
        <f t="shared" si="15"/>
        <v>92</v>
      </c>
      <c r="K159" s="17">
        <f t="shared" si="16"/>
        <v>0</v>
      </c>
      <c r="L159" s="17">
        <f t="shared" si="17"/>
        <v>0</v>
      </c>
      <c r="M159" s="21">
        <f t="shared" si="19"/>
        <v>0</v>
      </c>
      <c r="N159" s="21">
        <f t="shared" si="18"/>
        <v>-67</v>
      </c>
      <c r="O159" s="21">
        <f t="shared" si="20"/>
        <v>-25</v>
      </c>
      <c r="P159" s="21">
        <f t="shared" si="21"/>
        <v>0</v>
      </c>
    </row>
    <row r="160" spans="9:16" x14ac:dyDescent="0.3">
      <c r="I160" s="21">
        <v>198</v>
      </c>
      <c r="J160" s="17">
        <f t="shared" si="15"/>
        <v>93</v>
      </c>
      <c r="K160" s="17">
        <f t="shared" si="16"/>
        <v>0</v>
      </c>
      <c r="L160" s="17">
        <f t="shared" si="17"/>
        <v>0</v>
      </c>
      <c r="M160" s="21">
        <f t="shared" ref="M160:M172" si="22">(I160&lt;=$D$48)*$C$48</f>
        <v>0</v>
      </c>
      <c r="N160" s="21">
        <f t="shared" si="18"/>
        <v>-68</v>
      </c>
      <c r="O160" s="21">
        <f t="shared" ref="O160:O172" si="23">(I160&gt;=$D$50)*$C$50</f>
        <v>-25</v>
      </c>
      <c r="P160" s="21">
        <f t="shared" ref="P160:P172" si="24">SUM(J160:O160)</f>
        <v>0</v>
      </c>
    </row>
    <row r="161" spans="9:16" x14ac:dyDescent="0.3">
      <c r="I161" s="21">
        <v>199</v>
      </c>
      <c r="J161" s="17">
        <f t="shared" ref="J161:J172" si="25">MAX(I161-$D$45,0)*$C$45</f>
        <v>94</v>
      </c>
      <c r="K161" s="17">
        <f t="shared" ref="K161:K172" si="26">MAX($D$46-I161, 0)*$C$46</f>
        <v>0</v>
      </c>
      <c r="L161" s="17">
        <f t="shared" ref="L161:L172" si="27">MAX($D$47-I161, 0)*$C$47</f>
        <v>0</v>
      </c>
      <c r="M161" s="21">
        <f t="shared" si="22"/>
        <v>0</v>
      </c>
      <c r="N161" s="21">
        <f t="shared" ref="N161:N172" si="28">MAX(I161-$D$49, 0)*$C$49</f>
        <v>-69</v>
      </c>
      <c r="O161" s="21">
        <f t="shared" si="23"/>
        <v>-25</v>
      </c>
      <c r="P161" s="21">
        <f t="shared" si="24"/>
        <v>0</v>
      </c>
    </row>
    <row r="162" spans="9:16" x14ac:dyDescent="0.3">
      <c r="I162" s="21">
        <v>200</v>
      </c>
      <c r="J162" s="17">
        <f t="shared" si="25"/>
        <v>95</v>
      </c>
      <c r="K162" s="17">
        <f t="shared" si="26"/>
        <v>0</v>
      </c>
      <c r="L162" s="17">
        <f t="shared" si="27"/>
        <v>0</v>
      </c>
      <c r="M162" s="21">
        <f t="shared" si="22"/>
        <v>0</v>
      </c>
      <c r="N162" s="21">
        <f t="shared" si="28"/>
        <v>-70</v>
      </c>
      <c r="O162" s="21">
        <f t="shared" si="23"/>
        <v>-25</v>
      </c>
      <c r="P162" s="21">
        <f t="shared" si="24"/>
        <v>0</v>
      </c>
    </row>
    <row r="163" spans="9:16" x14ac:dyDescent="0.3">
      <c r="I163" s="21">
        <v>201</v>
      </c>
      <c r="J163" s="17">
        <f t="shared" si="25"/>
        <v>96</v>
      </c>
      <c r="K163" s="17">
        <f t="shared" si="26"/>
        <v>0</v>
      </c>
      <c r="L163" s="17">
        <f t="shared" si="27"/>
        <v>0</v>
      </c>
      <c r="M163" s="21">
        <f t="shared" si="22"/>
        <v>0</v>
      </c>
      <c r="N163" s="21">
        <f t="shared" si="28"/>
        <v>-71</v>
      </c>
      <c r="O163" s="21">
        <f t="shared" si="23"/>
        <v>-25</v>
      </c>
      <c r="P163" s="21">
        <f t="shared" si="24"/>
        <v>0</v>
      </c>
    </row>
    <row r="164" spans="9:16" x14ac:dyDescent="0.3">
      <c r="I164" s="21">
        <v>202</v>
      </c>
      <c r="J164" s="17">
        <f t="shared" si="25"/>
        <v>97</v>
      </c>
      <c r="K164" s="17">
        <f t="shared" si="26"/>
        <v>0</v>
      </c>
      <c r="L164" s="17">
        <f t="shared" si="27"/>
        <v>0</v>
      </c>
      <c r="M164" s="21">
        <f t="shared" si="22"/>
        <v>0</v>
      </c>
      <c r="N164" s="21">
        <f t="shared" si="28"/>
        <v>-72</v>
      </c>
      <c r="O164" s="21">
        <f t="shared" si="23"/>
        <v>-25</v>
      </c>
      <c r="P164" s="21">
        <f t="shared" si="24"/>
        <v>0</v>
      </c>
    </row>
    <row r="165" spans="9:16" x14ac:dyDescent="0.3">
      <c r="I165" s="21">
        <v>203</v>
      </c>
      <c r="J165" s="17">
        <f t="shared" si="25"/>
        <v>98</v>
      </c>
      <c r="K165" s="17">
        <f t="shared" si="26"/>
        <v>0</v>
      </c>
      <c r="L165" s="17">
        <f t="shared" si="27"/>
        <v>0</v>
      </c>
      <c r="M165" s="21">
        <f t="shared" si="22"/>
        <v>0</v>
      </c>
      <c r="N165" s="21">
        <f t="shared" si="28"/>
        <v>-73</v>
      </c>
      <c r="O165" s="21">
        <f t="shared" si="23"/>
        <v>-25</v>
      </c>
      <c r="P165" s="21">
        <f t="shared" si="24"/>
        <v>0</v>
      </c>
    </row>
    <row r="166" spans="9:16" x14ac:dyDescent="0.3">
      <c r="I166" s="21">
        <v>204</v>
      </c>
      <c r="J166" s="17">
        <f t="shared" si="25"/>
        <v>99</v>
      </c>
      <c r="K166" s="17">
        <f t="shared" si="26"/>
        <v>0</v>
      </c>
      <c r="L166" s="17">
        <f t="shared" si="27"/>
        <v>0</v>
      </c>
      <c r="M166" s="21">
        <f t="shared" si="22"/>
        <v>0</v>
      </c>
      <c r="N166" s="21">
        <f t="shared" si="28"/>
        <v>-74</v>
      </c>
      <c r="O166" s="21">
        <f t="shared" si="23"/>
        <v>-25</v>
      </c>
      <c r="P166" s="21">
        <f t="shared" si="24"/>
        <v>0</v>
      </c>
    </row>
    <row r="167" spans="9:16" x14ac:dyDescent="0.3">
      <c r="I167" s="21">
        <v>205</v>
      </c>
      <c r="J167" s="17">
        <f t="shared" si="25"/>
        <v>100</v>
      </c>
      <c r="K167" s="17">
        <f t="shared" si="26"/>
        <v>0</v>
      </c>
      <c r="L167" s="17">
        <f t="shared" si="27"/>
        <v>0</v>
      </c>
      <c r="M167" s="21">
        <f t="shared" si="22"/>
        <v>0</v>
      </c>
      <c r="N167" s="21">
        <f t="shared" si="28"/>
        <v>-75</v>
      </c>
      <c r="O167" s="21">
        <f t="shared" si="23"/>
        <v>-25</v>
      </c>
      <c r="P167" s="21">
        <f t="shared" si="24"/>
        <v>0</v>
      </c>
    </row>
    <row r="168" spans="9:16" x14ac:dyDescent="0.3">
      <c r="I168" s="21">
        <v>206</v>
      </c>
      <c r="J168" s="17">
        <f t="shared" si="25"/>
        <v>101</v>
      </c>
      <c r="K168" s="17">
        <f t="shared" si="26"/>
        <v>0</v>
      </c>
      <c r="L168" s="17">
        <f t="shared" si="27"/>
        <v>0</v>
      </c>
      <c r="M168" s="21">
        <f t="shared" si="22"/>
        <v>0</v>
      </c>
      <c r="N168" s="21">
        <f t="shared" si="28"/>
        <v>-76</v>
      </c>
      <c r="O168" s="21">
        <f t="shared" si="23"/>
        <v>-25</v>
      </c>
      <c r="P168" s="21">
        <f t="shared" si="24"/>
        <v>0</v>
      </c>
    </row>
    <row r="169" spans="9:16" x14ac:dyDescent="0.3">
      <c r="I169" s="21">
        <v>207</v>
      </c>
      <c r="J169" s="17">
        <f t="shared" si="25"/>
        <v>102</v>
      </c>
      <c r="K169" s="17">
        <f t="shared" si="26"/>
        <v>0</v>
      </c>
      <c r="L169" s="17">
        <f t="shared" si="27"/>
        <v>0</v>
      </c>
      <c r="M169" s="21">
        <f t="shared" si="22"/>
        <v>0</v>
      </c>
      <c r="N169" s="21">
        <f t="shared" si="28"/>
        <v>-77</v>
      </c>
      <c r="O169" s="21">
        <f t="shared" si="23"/>
        <v>-25</v>
      </c>
      <c r="P169" s="21">
        <f t="shared" si="24"/>
        <v>0</v>
      </c>
    </row>
    <row r="170" spans="9:16" x14ac:dyDescent="0.3">
      <c r="I170" s="21">
        <v>208</v>
      </c>
      <c r="J170" s="17">
        <f t="shared" si="25"/>
        <v>103</v>
      </c>
      <c r="K170" s="17">
        <f t="shared" si="26"/>
        <v>0</v>
      </c>
      <c r="L170" s="17">
        <f t="shared" si="27"/>
        <v>0</v>
      </c>
      <c r="M170" s="21">
        <f t="shared" si="22"/>
        <v>0</v>
      </c>
      <c r="N170" s="21">
        <f t="shared" si="28"/>
        <v>-78</v>
      </c>
      <c r="O170" s="21">
        <f t="shared" si="23"/>
        <v>-25</v>
      </c>
      <c r="P170" s="21">
        <f t="shared" si="24"/>
        <v>0</v>
      </c>
    </row>
    <row r="171" spans="9:16" x14ac:dyDescent="0.3">
      <c r="I171" s="21">
        <v>209</v>
      </c>
      <c r="J171" s="17">
        <f t="shared" si="25"/>
        <v>104</v>
      </c>
      <c r="K171" s="17">
        <f t="shared" si="26"/>
        <v>0</v>
      </c>
      <c r="L171" s="17">
        <f t="shared" si="27"/>
        <v>0</v>
      </c>
      <c r="M171" s="21">
        <f t="shared" si="22"/>
        <v>0</v>
      </c>
      <c r="N171" s="21">
        <f t="shared" si="28"/>
        <v>-79</v>
      </c>
      <c r="O171" s="21">
        <f t="shared" si="23"/>
        <v>-25</v>
      </c>
      <c r="P171" s="21">
        <f t="shared" si="24"/>
        <v>0</v>
      </c>
    </row>
    <row r="172" spans="9:16" x14ac:dyDescent="0.3">
      <c r="I172" s="21">
        <v>210</v>
      </c>
      <c r="J172" s="17">
        <f t="shared" si="25"/>
        <v>105</v>
      </c>
      <c r="K172" s="17">
        <f t="shared" si="26"/>
        <v>0</v>
      </c>
      <c r="L172" s="17">
        <f t="shared" si="27"/>
        <v>0</v>
      </c>
      <c r="M172" s="21">
        <f t="shared" si="22"/>
        <v>0</v>
      </c>
      <c r="N172" s="21">
        <f t="shared" si="28"/>
        <v>-80</v>
      </c>
      <c r="O172" s="21">
        <f t="shared" si="23"/>
        <v>-25</v>
      </c>
      <c r="P172" s="21">
        <f t="shared" si="2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5800-4484-4F32-8BEA-B85FF022B623}">
  <dimension ref="A1:K35"/>
  <sheetViews>
    <sheetView workbookViewId="0"/>
  </sheetViews>
  <sheetFormatPr defaultRowHeight="14.4" x14ac:dyDescent="0.3"/>
  <cols>
    <col min="8" max="8" width="9.109375" customWidth="1"/>
  </cols>
  <sheetData>
    <row r="1" spans="1:2" x14ac:dyDescent="0.3">
      <c r="A1" s="23" t="s">
        <v>116</v>
      </c>
    </row>
    <row r="2" spans="1:2" x14ac:dyDescent="0.3">
      <c r="A2" t="s">
        <v>117</v>
      </c>
    </row>
    <row r="3" spans="1:2" x14ac:dyDescent="0.3">
      <c r="A3" t="s">
        <v>118</v>
      </c>
    </row>
    <row r="4" spans="1:2" x14ac:dyDescent="0.3">
      <c r="A4" t="s">
        <v>119</v>
      </c>
    </row>
    <row r="5" spans="1:2" x14ac:dyDescent="0.3">
      <c r="A5" t="s">
        <v>120</v>
      </c>
    </row>
    <row r="6" spans="1:2" x14ac:dyDescent="0.3">
      <c r="A6" t="s">
        <v>121</v>
      </c>
    </row>
    <row r="7" spans="1:2" x14ac:dyDescent="0.3">
      <c r="A7" t="s">
        <v>122</v>
      </c>
    </row>
    <row r="8" spans="1:2" x14ac:dyDescent="0.3">
      <c r="A8" t="s">
        <v>123</v>
      </c>
    </row>
    <row r="9" spans="1:2" x14ac:dyDescent="0.3">
      <c r="A9" t="s">
        <v>124</v>
      </c>
    </row>
    <row r="10" spans="1:2" x14ac:dyDescent="0.3">
      <c r="A10" t="s">
        <v>125</v>
      </c>
    </row>
    <row r="11" spans="1:2" x14ac:dyDescent="0.3">
      <c r="A11" t="s">
        <v>126</v>
      </c>
    </row>
    <row r="13" spans="1:2" x14ac:dyDescent="0.3">
      <c r="A13" t="s">
        <v>9</v>
      </c>
      <c r="B13" s="1">
        <v>200</v>
      </c>
    </row>
    <row r="14" spans="1:2" x14ac:dyDescent="0.3">
      <c r="A14" t="s">
        <v>10</v>
      </c>
      <c r="B14" s="1">
        <v>1.1000000000000001</v>
      </c>
    </row>
    <row r="15" spans="1:2" x14ac:dyDescent="0.3">
      <c r="A15" t="s">
        <v>11</v>
      </c>
      <c r="B15" s="1">
        <v>0.9</v>
      </c>
    </row>
    <row r="16" spans="1:2" x14ac:dyDescent="0.3">
      <c r="A16" t="s">
        <v>13</v>
      </c>
      <c r="B16" s="36">
        <v>0.04</v>
      </c>
    </row>
    <row r="17" spans="1:11" x14ac:dyDescent="0.3">
      <c r="A17" t="s">
        <v>14</v>
      </c>
      <c r="B17" s="31">
        <f>1/4</f>
        <v>0.25</v>
      </c>
    </row>
    <row r="18" spans="1:11" x14ac:dyDescent="0.3">
      <c r="A18" t="s">
        <v>12</v>
      </c>
      <c r="B18" s="1">
        <v>207</v>
      </c>
    </row>
    <row r="20" spans="1:11" ht="15" thickBot="1" x14ac:dyDescent="0.35">
      <c r="A20" t="s">
        <v>73</v>
      </c>
      <c r="B20" s="37">
        <f>(1 + B16*B17 - B15) / (B14-B15)</f>
        <v>0.54999999999999971</v>
      </c>
      <c r="C20" t="s">
        <v>127</v>
      </c>
    </row>
    <row r="21" spans="1:11" x14ac:dyDescent="0.3">
      <c r="J21" s="6" t="s">
        <v>9</v>
      </c>
      <c r="K21" s="14">
        <f>H23 * $B$14</f>
        <v>266.2000000000001</v>
      </c>
    </row>
    <row r="22" spans="1:11" ht="15" thickBot="1" x14ac:dyDescent="0.35">
      <c r="J22" s="11" t="s">
        <v>22</v>
      </c>
      <c r="K22" s="34">
        <f>ABS(K21-$B$18)</f>
        <v>59.200000000000102</v>
      </c>
    </row>
    <row r="23" spans="1:11" ht="15" thickBot="1" x14ac:dyDescent="0.35">
      <c r="G23" s="6" t="s">
        <v>9</v>
      </c>
      <c r="H23" s="14">
        <f>E25 * $B$14</f>
        <v>242.00000000000006</v>
      </c>
      <c r="J23" s="9" t="s">
        <v>23</v>
      </c>
      <c r="K23" s="35">
        <v>1</v>
      </c>
    </row>
    <row r="24" spans="1:11" ht="15" thickBot="1" x14ac:dyDescent="0.35">
      <c r="G24" s="11" t="s">
        <v>22</v>
      </c>
      <c r="H24" s="34">
        <f>($B$20 * K22 + (1 - $B$20)*K26) / (1 + $B$16*$B$17)</f>
        <v>37.049504950495106</v>
      </c>
    </row>
    <row r="25" spans="1:11" ht="15" thickBot="1" x14ac:dyDescent="0.35">
      <c r="D25" s="6" t="s">
        <v>9</v>
      </c>
      <c r="E25" s="14">
        <f>B27 * $B$14</f>
        <v>220.00000000000003</v>
      </c>
      <c r="G25" s="9" t="s">
        <v>23</v>
      </c>
      <c r="H25" s="39">
        <f xml:space="preserve"> (K22 - K26) / (K21 - K25)</f>
        <v>1</v>
      </c>
      <c r="J25" s="6" t="s">
        <v>9</v>
      </c>
      <c r="K25" s="14">
        <f>H27 * $B$14</f>
        <v>217.80000000000004</v>
      </c>
    </row>
    <row r="26" spans="1:11" ht="15" thickBot="1" x14ac:dyDescent="0.35">
      <c r="D26" s="11" t="s">
        <v>22</v>
      </c>
      <c r="E26" s="34">
        <f>($B$20 * H24 + (1 - $B$20)*H28) / (1 + $B$16*$B$17)</f>
        <v>28.512890893049732</v>
      </c>
      <c r="J26" s="11" t="s">
        <v>22</v>
      </c>
      <c r="K26" s="34">
        <f>ABS(K25-$B$18)</f>
        <v>10.80000000000004</v>
      </c>
    </row>
    <row r="27" spans="1:11" ht="15" thickBot="1" x14ac:dyDescent="0.35">
      <c r="A27" s="6" t="s">
        <v>9</v>
      </c>
      <c r="B27" s="14">
        <f>B13</f>
        <v>200</v>
      </c>
      <c r="D27" s="9" t="s">
        <v>23</v>
      </c>
      <c r="E27" s="39">
        <f xml:space="preserve"> (H24 - H28) / (H23 - H27)</f>
        <v>0.41674167416741731</v>
      </c>
      <c r="G27" s="6" t="s">
        <v>9</v>
      </c>
      <c r="H27" s="14">
        <f>E29 * $B$14</f>
        <v>198.00000000000003</v>
      </c>
      <c r="J27" s="9" t="s">
        <v>23</v>
      </c>
      <c r="K27" s="35">
        <v>1</v>
      </c>
    </row>
    <row r="28" spans="1:11" ht="15" thickBot="1" x14ac:dyDescent="0.35">
      <c r="A28" s="11" t="s">
        <v>22</v>
      </c>
      <c r="B28" s="38">
        <f>($B$20 * E26 + (1 - $B$20)*E30) / (1 + $B$16*$B$17)</f>
        <v>28.593100462874467</v>
      </c>
      <c r="G28" s="11" t="s">
        <v>22</v>
      </c>
      <c r="H28" s="34">
        <f>($B$20 * K26 + (1 - $B$20)*K30) / (1 + $B$16*$B$17)</f>
        <v>18.712871287128731</v>
      </c>
    </row>
    <row r="29" spans="1:11" ht="15" thickBot="1" x14ac:dyDescent="0.35">
      <c r="A29" s="9" t="s">
        <v>23</v>
      </c>
      <c r="B29" s="39">
        <f xml:space="preserve"> (E26 - E30) / (E25 - E29)</f>
        <v>-2.0341143025193173E-2</v>
      </c>
      <c r="D29" s="6" t="s">
        <v>9</v>
      </c>
      <c r="E29" s="14">
        <f>B27 * $B$15</f>
        <v>180</v>
      </c>
      <c r="G29" s="9" t="s">
        <v>23</v>
      </c>
      <c r="H29" s="39">
        <f xml:space="preserve"> (K26 - K30) / (K25 - K29)</f>
        <v>-0.45454545454545286</v>
      </c>
      <c r="J29" s="6" t="s">
        <v>9</v>
      </c>
      <c r="K29" s="14">
        <f>H31 * $B$14</f>
        <v>178.20000000000002</v>
      </c>
    </row>
    <row r="30" spans="1:11" ht="15" thickBot="1" x14ac:dyDescent="0.35">
      <c r="D30" s="11" t="s">
        <v>22</v>
      </c>
      <c r="E30" s="34">
        <f>($B$20 * H28 + (1 - $B$20)*H32) / (1 + $B$16*$B$17)</f>
        <v>29.32653661405746</v>
      </c>
      <c r="J30" s="11" t="s">
        <v>22</v>
      </c>
      <c r="K30" s="34">
        <f>ABS(K29-$B$18)</f>
        <v>28.799999999999983</v>
      </c>
    </row>
    <row r="31" spans="1:11" ht="15" thickBot="1" x14ac:dyDescent="0.35">
      <c r="D31" s="9" t="s">
        <v>23</v>
      </c>
      <c r="E31" s="39">
        <f xml:space="preserve"> (H28 - H32) / (H27 - H31)</f>
        <v>-0.67326732673267209</v>
      </c>
      <c r="G31" s="6" t="s">
        <v>9</v>
      </c>
      <c r="H31" s="14">
        <f>E29 * $B$15</f>
        <v>162</v>
      </c>
      <c r="J31" s="9" t="s">
        <v>23</v>
      </c>
      <c r="K31" s="35">
        <v>-1</v>
      </c>
    </row>
    <row r="32" spans="1:11" ht="15" thickBot="1" x14ac:dyDescent="0.35">
      <c r="G32" s="11" t="s">
        <v>22</v>
      </c>
      <c r="H32" s="34">
        <f>($B$20 * K30 + (1 - $B$20)*K34) / (1 + $B$16*$B$17)</f>
        <v>42.950495049504944</v>
      </c>
    </row>
    <row r="33" spans="7:11" ht="15" thickBot="1" x14ac:dyDescent="0.35">
      <c r="G33" s="9" t="s">
        <v>23</v>
      </c>
      <c r="H33" s="39">
        <f xml:space="preserve"> (K30 - K34) / (K29 - K33)</f>
        <v>-1</v>
      </c>
      <c r="J33" s="6" t="s">
        <v>9</v>
      </c>
      <c r="K33" s="14">
        <f>H31 * $B$15</f>
        <v>145.80000000000001</v>
      </c>
    </row>
    <row r="34" spans="7:11" x14ac:dyDescent="0.3">
      <c r="J34" s="11" t="s">
        <v>22</v>
      </c>
      <c r="K34" s="34">
        <f>ABS(K33-$B$18)</f>
        <v>61.199999999999989</v>
      </c>
    </row>
    <row r="35" spans="7:11" ht="15" thickBot="1" x14ac:dyDescent="0.35">
      <c r="J35" s="9" t="s">
        <v>23</v>
      </c>
      <c r="K35" s="35">
        <v>-1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8156-4DE2-45B4-B3F1-871D4EB1D20B}">
  <dimension ref="A1:I68"/>
  <sheetViews>
    <sheetView workbookViewId="0"/>
  </sheetViews>
  <sheetFormatPr defaultRowHeight="14.4" x14ac:dyDescent="0.3"/>
  <cols>
    <col min="2" max="2" width="9.5546875" bestFit="1" customWidth="1"/>
    <col min="3" max="3" width="10.109375" bestFit="1" customWidth="1"/>
  </cols>
  <sheetData>
    <row r="1" spans="1:1" x14ac:dyDescent="0.3">
      <c r="A1" s="23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  <row r="4" spans="1:1" x14ac:dyDescent="0.3">
      <c r="A4" t="s">
        <v>131</v>
      </c>
    </row>
    <row r="5" spans="1:1" x14ac:dyDescent="0.3">
      <c r="A5" t="s">
        <v>132</v>
      </c>
    </row>
    <row r="6" spans="1:1" x14ac:dyDescent="0.3">
      <c r="A6" t="s">
        <v>133</v>
      </c>
    </row>
    <row r="7" spans="1:1" x14ac:dyDescent="0.3">
      <c r="A7" t="s">
        <v>134</v>
      </c>
    </row>
    <row r="8" spans="1:1" x14ac:dyDescent="0.3">
      <c r="A8" t="s">
        <v>135</v>
      </c>
    </row>
    <row r="9" spans="1:1" x14ac:dyDescent="0.3">
      <c r="A9" t="s">
        <v>136</v>
      </c>
    </row>
    <row r="10" spans="1:1" x14ac:dyDescent="0.3">
      <c r="A10" t="s">
        <v>137</v>
      </c>
    </row>
    <row r="11" spans="1:1" x14ac:dyDescent="0.3">
      <c r="A11" t="s">
        <v>138</v>
      </c>
    </row>
    <row r="12" spans="1:1" x14ac:dyDescent="0.3">
      <c r="A12" t="s">
        <v>139</v>
      </c>
    </row>
    <row r="13" spans="1:1" x14ac:dyDescent="0.3">
      <c r="A13" t="s">
        <v>140</v>
      </c>
    </row>
    <row r="14" spans="1:1" x14ac:dyDescent="0.3">
      <c r="A14" t="s">
        <v>141</v>
      </c>
    </row>
    <row r="15" spans="1:1" x14ac:dyDescent="0.3">
      <c r="A15" t="s">
        <v>142</v>
      </c>
    </row>
    <row r="16" spans="1:1" x14ac:dyDescent="0.3">
      <c r="A16" t="s">
        <v>143</v>
      </c>
    </row>
    <row r="17" spans="1:5" x14ac:dyDescent="0.3">
      <c r="A17" t="s">
        <v>144</v>
      </c>
    </row>
    <row r="18" spans="1:5" x14ac:dyDescent="0.3">
      <c r="A18" t="s">
        <v>145</v>
      </c>
    </row>
    <row r="19" spans="1:5" x14ac:dyDescent="0.3">
      <c r="A19" t="s">
        <v>146</v>
      </c>
    </row>
    <row r="20" spans="1:5" x14ac:dyDescent="0.3">
      <c r="A20" t="s">
        <v>147</v>
      </c>
    </row>
    <row r="21" spans="1:5" x14ac:dyDescent="0.3">
      <c r="A21" t="s">
        <v>148</v>
      </c>
    </row>
    <row r="22" spans="1:5" x14ac:dyDescent="0.3">
      <c r="A22" t="s">
        <v>149</v>
      </c>
    </row>
    <row r="23" spans="1:5" x14ac:dyDescent="0.3">
      <c r="A23" t="s">
        <v>150</v>
      </c>
    </row>
    <row r="24" spans="1:5" x14ac:dyDescent="0.3">
      <c r="A24" t="s">
        <v>151</v>
      </c>
    </row>
    <row r="25" spans="1:5" x14ac:dyDescent="0.3">
      <c r="A25" t="s">
        <v>152</v>
      </c>
    </row>
    <row r="27" spans="1:5" x14ac:dyDescent="0.3">
      <c r="A27" t="s">
        <v>9</v>
      </c>
      <c r="B27" s="1">
        <v>5200</v>
      </c>
      <c r="D27" t="s">
        <v>156</v>
      </c>
      <c r="E27" s="1">
        <v>4700</v>
      </c>
    </row>
    <row r="28" spans="1:5" x14ac:dyDescent="0.3">
      <c r="A28" t="s">
        <v>81</v>
      </c>
      <c r="B28" s="1">
        <v>100000</v>
      </c>
      <c r="D28" t="s">
        <v>157</v>
      </c>
      <c r="E28" s="1">
        <v>5700</v>
      </c>
    </row>
    <row r="29" spans="1:5" x14ac:dyDescent="0.3">
      <c r="A29" t="s">
        <v>153</v>
      </c>
      <c r="B29" s="1">
        <v>0.25</v>
      </c>
      <c r="D29" t="s">
        <v>13</v>
      </c>
      <c r="E29" s="2">
        <v>0.05</v>
      </c>
    </row>
    <row r="30" spans="1:5" x14ac:dyDescent="0.3">
      <c r="A30" t="s">
        <v>154</v>
      </c>
      <c r="B30" s="1">
        <v>0.5</v>
      </c>
      <c r="D30" t="s">
        <v>73</v>
      </c>
      <c r="E30" s="2">
        <v>0.02</v>
      </c>
    </row>
    <row r="31" spans="1:5" x14ac:dyDescent="0.3">
      <c r="A31" t="s">
        <v>155</v>
      </c>
      <c r="B31" s="1">
        <v>0.75</v>
      </c>
      <c r="D31" t="s">
        <v>74</v>
      </c>
      <c r="E31" s="2">
        <v>0.2</v>
      </c>
    </row>
    <row r="32" spans="1:5" x14ac:dyDescent="0.3">
      <c r="A32" t="s">
        <v>72</v>
      </c>
      <c r="B32" s="1">
        <v>1</v>
      </c>
    </row>
    <row r="34" spans="1:9" x14ac:dyDescent="0.3">
      <c r="A34" t="s">
        <v>9</v>
      </c>
      <c r="B34" s="40">
        <f>B27</f>
        <v>5200</v>
      </c>
      <c r="C34" s="40">
        <f>B34</f>
        <v>5200</v>
      </c>
      <c r="D34" s="40">
        <f t="shared" ref="D34:I34" si="0">C34</f>
        <v>5200</v>
      </c>
      <c r="E34" s="40">
        <f t="shared" si="0"/>
        <v>5200</v>
      </c>
      <c r="F34" s="40">
        <f t="shared" si="0"/>
        <v>5200</v>
      </c>
      <c r="G34" s="40">
        <f>F34</f>
        <v>5200</v>
      </c>
      <c r="H34" s="40">
        <f t="shared" si="0"/>
        <v>5200</v>
      </c>
      <c r="I34" s="40">
        <f t="shared" si="0"/>
        <v>5200</v>
      </c>
    </row>
    <row r="35" spans="1:9" x14ac:dyDescent="0.3">
      <c r="A35" t="s">
        <v>12</v>
      </c>
      <c r="B35" s="40">
        <f>E27</f>
        <v>4700</v>
      </c>
      <c r="C35" s="40">
        <f>E28</f>
        <v>5700</v>
      </c>
      <c r="D35" s="40">
        <f>B35</f>
        <v>4700</v>
      </c>
      <c r="E35" s="40">
        <f>C35</f>
        <v>5700</v>
      </c>
      <c r="F35" s="40">
        <f>B35</f>
        <v>4700</v>
      </c>
      <c r="G35" s="40">
        <f>C35</f>
        <v>5700</v>
      </c>
      <c r="H35" s="40">
        <f>B35</f>
        <v>4700</v>
      </c>
      <c r="I35" s="40">
        <f>C35</f>
        <v>5700</v>
      </c>
    </row>
    <row r="36" spans="1:9" x14ac:dyDescent="0.3">
      <c r="A36" t="s">
        <v>72</v>
      </c>
      <c r="B36">
        <f>B29</f>
        <v>0.25</v>
      </c>
      <c r="C36">
        <f>B36</f>
        <v>0.25</v>
      </c>
      <c r="D36">
        <f>B30</f>
        <v>0.5</v>
      </c>
      <c r="E36">
        <f t="shared" ref="E36" si="1">D36</f>
        <v>0.5</v>
      </c>
      <c r="F36">
        <f>B31</f>
        <v>0.75</v>
      </c>
      <c r="G36">
        <f>B31</f>
        <v>0.75</v>
      </c>
      <c r="H36">
        <f>B32</f>
        <v>1</v>
      </c>
      <c r="I36">
        <f>B32</f>
        <v>1</v>
      </c>
    </row>
    <row r="37" spans="1:9" x14ac:dyDescent="0.3">
      <c r="A37" t="s">
        <v>13</v>
      </c>
      <c r="B37" s="25">
        <f>E29</f>
        <v>0.05</v>
      </c>
      <c r="C37" s="25">
        <f>B37</f>
        <v>0.05</v>
      </c>
      <c r="D37" s="25">
        <f t="shared" ref="D37:H37" si="2">C37</f>
        <v>0.05</v>
      </c>
      <c r="E37" s="25">
        <f t="shared" si="2"/>
        <v>0.05</v>
      </c>
      <c r="F37" s="25">
        <f t="shared" si="2"/>
        <v>0.05</v>
      </c>
      <c r="G37" s="25">
        <f t="shared" si="2"/>
        <v>0.05</v>
      </c>
      <c r="H37" s="25">
        <f t="shared" si="2"/>
        <v>0.05</v>
      </c>
      <c r="I37" s="25">
        <f t="shared" ref="I37" si="3">H37</f>
        <v>0.05</v>
      </c>
    </row>
    <row r="38" spans="1:9" x14ac:dyDescent="0.3">
      <c r="A38" t="s">
        <v>73</v>
      </c>
      <c r="B38" s="25">
        <f>E30</f>
        <v>0.02</v>
      </c>
      <c r="C38" s="25">
        <f>B38</f>
        <v>0.02</v>
      </c>
      <c r="D38" s="25">
        <f t="shared" ref="D38:H38" si="4">C38</f>
        <v>0.02</v>
      </c>
      <c r="E38" s="25">
        <f t="shared" si="4"/>
        <v>0.02</v>
      </c>
      <c r="F38" s="25">
        <f t="shared" si="4"/>
        <v>0.02</v>
      </c>
      <c r="G38" s="25">
        <f t="shared" si="4"/>
        <v>0.02</v>
      </c>
      <c r="H38" s="25">
        <f t="shared" si="4"/>
        <v>0.02</v>
      </c>
      <c r="I38" s="25">
        <f t="shared" ref="I38" si="5">H38</f>
        <v>0.02</v>
      </c>
    </row>
    <row r="39" spans="1:9" x14ac:dyDescent="0.3">
      <c r="A39" t="s">
        <v>74</v>
      </c>
      <c r="B39" s="25">
        <f>E31</f>
        <v>0.2</v>
      </c>
      <c r="C39" s="25">
        <f>B39</f>
        <v>0.2</v>
      </c>
      <c r="D39" s="25">
        <f t="shared" ref="D39:H39" si="6">C39</f>
        <v>0.2</v>
      </c>
      <c r="E39" s="25">
        <f t="shared" si="6"/>
        <v>0.2</v>
      </c>
      <c r="F39" s="25">
        <f t="shared" si="6"/>
        <v>0.2</v>
      </c>
      <c r="G39" s="25">
        <f t="shared" si="6"/>
        <v>0.2</v>
      </c>
      <c r="H39" s="25">
        <f t="shared" si="6"/>
        <v>0.2</v>
      </c>
      <c r="I39" s="25">
        <f t="shared" ref="I39" si="7">H39</f>
        <v>0.2</v>
      </c>
    </row>
    <row r="40" spans="1:9" x14ac:dyDescent="0.3">
      <c r="A40" t="s">
        <v>75</v>
      </c>
      <c r="B40" s="17">
        <f t="shared" ref="B40:I40" si="8" xml:space="preserve"> 1 / (B39 * SQRT(B36)) * (LN(B34/B35) + (B37 - B38 + B39^2/2)*B36)</f>
        <v>1.1359611687136881</v>
      </c>
      <c r="C40" s="17">
        <f t="shared" si="8"/>
        <v>-0.79307549253122867</v>
      </c>
      <c r="D40" s="17">
        <f t="shared" si="8"/>
        <v>0.89163419321036297</v>
      </c>
      <c r="E40" s="17">
        <f t="shared" si="8"/>
        <v>-0.47240071111337423</v>
      </c>
      <c r="F40" s="17">
        <f t="shared" si="8"/>
        <v>0.80018505384321603</v>
      </c>
      <c r="G40" s="17">
        <f t="shared" si="8"/>
        <v>-0.3135447818031934</v>
      </c>
      <c r="H40" s="17">
        <f t="shared" si="8"/>
        <v>0.75548058435684406</v>
      </c>
      <c r="I40" s="17">
        <f t="shared" si="8"/>
        <v>-0.20903774626561428</v>
      </c>
    </row>
    <row r="41" spans="1:9" x14ac:dyDescent="0.3">
      <c r="A41" t="s">
        <v>76</v>
      </c>
      <c r="B41" s="17">
        <f t="shared" ref="B41:I41" si="9" xml:space="preserve"> 1 / (B39 * SQRT(B36)) * (LN(B34/B35) + (B37 - B38 - B39^2/2)*B36)</f>
        <v>1.035961168713688</v>
      </c>
      <c r="C41" s="17">
        <f t="shared" si="9"/>
        <v>-0.89307549253122853</v>
      </c>
      <c r="D41" s="17">
        <f t="shared" si="9"/>
        <v>0.75021283697305341</v>
      </c>
      <c r="E41" s="17">
        <f t="shared" si="9"/>
        <v>-0.61382206735068379</v>
      </c>
      <c r="F41" s="17">
        <f t="shared" si="9"/>
        <v>0.62697997308632836</v>
      </c>
      <c r="G41" s="17">
        <f t="shared" si="9"/>
        <v>-0.48674986256008118</v>
      </c>
      <c r="H41" s="17">
        <f t="shared" si="9"/>
        <v>0.555480584356844</v>
      </c>
      <c r="I41" s="17">
        <f t="shared" si="9"/>
        <v>-0.40903774626561429</v>
      </c>
    </row>
    <row r="42" spans="1:9" x14ac:dyDescent="0.3">
      <c r="A42" t="s">
        <v>77</v>
      </c>
      <c r="B42" s="17">
        <f t="shared" ref="B42:I42" si="10">B34 * EXP(-B38*B36) *_xlfn.NORM.DIST(B40, 0, 1, 1) - B35 * EXP(-B37*B36) *_xlfn.NORM.DIST(B41, 0, 1, 1)</f>
        <v>566.99277625319155</v>
      </c>
      <c r="C42" s="17">
        <f t="shared" si="10"/>
        <v>60.047124864072885</v>
      </c>
      <c r="D42" s="17">
        <f t="shared" si="10"/>
        <v>643.76626150176889</v>
      </c>
      <c r="E42" s="17">
        <f t="shared" si="10"/>
        <v>139.64820119070305</v>
      </c>
      <c r="F42" s="17">
        <f t="shared" si="10"/>
        <v>711.77679216617253</v>
      </c>
      <c r="G42" s="17">
        <f t="shared" si="10"/>
        <v>211.24135061029892</v>
      </c>
      <c r="H42" s="17">
        <f t="shared" si="10"/>
        <v>772.84269982502383</v>
      </c>
      <c r="I42" s="17">
        <f t="shared" si="10"/>
        <v>276.23749115710552</v>
      </c>
    </row>
    <row r="43" spans="1:9" x14ac:dyDescent="0.3">
      <c r="A43" t="s">
        <v>78</v>
      </c>
      <c r="B43" s="17">
        <f t="shared" ref="B43:I43" si="11">B35 * EXP(-B37*B36) *_xlfn.NORM.DIST(-B41, 0, 1, 1) - B34 * EXP(-B38*B36) *_xlfn.NORM.DIST(-B40, 0, 1, 1)</f>
        <v>34.543546772486252</v>
      </c>
      <c r="C43" s="17">
        <f t="shared" si="11"/>
        <v>515.17569587724893</v>
      </c>
      <c r="D43" s="17">
        <f t="shared" si="11"/>
        <v>79.463712539258722</v>
      </c>
      <c r="E43" s="17">
        <f t="shared" si="11"/>
        <v>550.65556425652494</v>
      </c>
      <c r="F43" s="17">
        <f t="shared" si="11"/>
        <v>116.2084695181095</v>
      </c>
      <c r="G43" s="17">
        <f t="shared" si="11"/>
        <v>578.86744568305858</v>
      </c>
      <c r="H43" s="17">
        <f t="shared" si="11"/>
        <v>146.5878937832515</v>
      </c>
      <c r="I43" s="17">
        <f t="shared" si="11"/>
        <v>601.2121096160472</v>
      </c>
    </row>
    <row r="44" spans="1:9" x14ac:dyDescent="0.3">
      <c r="A44" t="s">
        <v>79</v>
      </c>
      <c r="B44" s="17">
        <f t="shared" ref="B44:I44" si="12">EXP(-B37*B36) *_xlfn.NORM.DIST(B41, 0, 1, 1)</f>
        <v>0.83933236910621201</v>
      </c>
      <c r="C44" s="42">
        <f t="shared" si="12"/>
        <v>0.18359898220970414</v>
      </c>
      <c r="D44" s="17">
        <f t="shared" si="12"/>
        <v>0.75434051464229923</v>
      </c>
      <c r="E44" s="42">
        <f t="shared" si="12"/>
        <v>0.26300836808846501</v>
      </c>
      <c r="F44" s="17">
        <f t="shared" si="12"/>
        <v>0.7076240889301495</v>
      </c>
      <c r="G44" s="42">
        <f t="shared" si="12"/>
        <v>0.30168963878926336</v>
      </c>
      <c r="H44" s="17">
        <f t="shared" si="12"/>
        <v>0.67605492920630184</v>
      </c>
      <c r="I44" s="42">
        <f t="shared" si="12"/>
        <v>0.32461272981711298</v>
      </c>
    </row>
    <row r="45" spans="1:9" x14ac:dyDescent="0.3">
      <c r="A45" t="s">
        <v>80</v>
      </c>
      <c r="B45" s="41">
        <f t="shared" ref="B45:I45" si="13">EXP(-B37*B36) *_xlfn.NORM.DIST(-B41, 0, 1, 1)</f>
        <v>0.14824543138766944</v>
      </c>
      <c r="C45" s="24">
        <f t="shared" si="13"/>
        <v>0.80397881828417728</v>
      </c>
      <c r="D45" s="41">
        <f t="shared" si="13"/>
        <v>0.22096939738603341</v>
      </c>
      <c r="E45" s="24">
        <f t="shared" si="13"/>
        <v>0.71230154393986755</v>
      </c>
      <c r="F45" s="41">
        <f t="shared" si="13"/>
        <v>0.25557032879067243</v>
      </c>
      <c r="G45" s="24">
        <f t="shared" si="13"/>
        <v>0.66150477893155846</v>
      </c>
      <c r="H45" s="41">
        <f t="shared" si="13"/>
        <v>0.27517449529441218</v>
      </c>
      <c r="I45" s="24">
        <f t="shared" si="13"/>
        <v>0.62661669468360104</v>
      </c>
    </row>
    <row r="47" spans="1:9" x14ac:dyDescent="0.3">
      <c r="A47" t="s">
        <v>218</v>
      </c>
    </row>
    <row r="48" spans="1:9" x14ac:dyDescent="0.3">
      <c r="A48" t="s">
        <v>158</v>
      </c>
    </row>
    <row r="49" spans="1:3" x14ac:dyDescent="0.3">
      <c r="A49" t="s">
        <v>159</v>
      </c>
      <c r="B49" t="str">
        <f>"Put-" &amp; E27</f>
        <v>Put-4700</v>
      </c>
      <c r="C49" t="str">
        <f>"Call-" &amp; E28</f>
        <v>Call-5700</v>
      </c>
    </row>
    <row r="50" spans="1:3" x14ac:dyDescent="0.3">
      <c r="A50">
        <f>B29</f>
        <v>0.25</v>
      </c>
      <c r="B50" s="21">
        <f>B45</f>
        <v>0.14824543138766944</v>
      </c>
      <c r="C50" s="21">
        <f>C44</f>
        <v>0.18359898220970414</v>
      </c>
    </row>
    <row r="51" spans="1:3" x14ac:dyDescent="0.3">
      <c r="A51">
        <f>B30</f>
        <v>0.5</v>
      </c>
      <c r="B51" s="21">
        <f>D45</f>
        <v>0.22096939738603341</v>
      </c>
      <c r="C51" s="21">
        <f>E44</f>
        <v>0.26300836808846501</v>
      </c>
    </row>
    <row r="52" spans="1:3" x14ac:dyDescent="0.3">
      <c r="A52">
        <f>B31</f>
        <v>0.75</v>
      </c>
      <c r="B52" s="21">
        <f>F45</f>
        <v>0.25557032879067243</v>
      </c>
      <c r="C52" s="21">
        <f>G44</f>
        <v>0.30168963878926336</v>
      </c>
    </row>
    <row r="53" spans="1:3" x14ac:dyDescent="0.3">
      <c r="A53">
        <f>B32</f>
        <v>1</v>
      </c>
      <c r="B53" s="21">
        <f>H45</f>
        <v>0.27517449529441218</v>
      </c>
      <c r="C53" s="21">
        <f>I44</f>
        <v>0.32461272981711298</v>
      </c>
    </row>
    <row r="54" spans="1:3" x14ac:dyDescent="0.3">
      <c r="A54" t="s">
        <v>168</v>
      </c>
      <c r="C54" s="21">
        <f>SUM(B50:C53)</f>
        <v>1.9728693717633328</v>
      </c>
    </row>
    <row r="56" spans="1:3" x14ac:dyDescent="0.3">
      <c r="A56" t="s">
        <v>160</v>
      </c>
    </row>
    <row r="57" spans="1:3" x14ac:dyDescent="0.3">
      <c r="A57" t="s">
        <v>161</v>
      </c>
    </row>
    <row r="58" spans="1:3" x14ac:dyDescent="0.3">
      <c r="A58" t="s">
        <v>162</v>
      </c>
      <c r="C58" s="26">
        <f>C59*EXP(-E29*B32)</f>
        <v>95122.942450071409</v>
      </c>
    </row>
    <row r="59" spans="1:3" x14ac:dyDescent="0.3">
      <c r="A59" t="s">
        <v>163</v>
      </c>
      <c r="C59" s="26">
        <f>B28</f>
        <v>100000</v>
      </c>
    </row>
    <row r="61" spans="1:3" x14ac:dyDescent="0.3">
      <c r="A61" t="s">
        <v>164</v>
      </c>
    </row>
    <row r="62" spans="1:3" x14ac:dyDescent="0.3">
      <c r="A62" t="s">
        <v>165</v>
      </c>
      <c r="C62" s="21">
        <f>C54</f>
        <v>1.9728693717633328</v>
      </c>
    </row>
    <row r="63" spans="1:3" x14ac:dyDescent="0.3">
      <c r="A63" t="s">
        <v>166</v>
      </c>
      <c r="C63" s="26">
        <f>C59-C58</f>
        <v>4877.0575499285915</v>
      </c>
    </row>
    <row r="64" spans="1:3" x14ac:dyDescent="0.3">
      <c r="A64" t="s">
        <v>167</v>
      </c>
      <c r="C64" s="26">
        <f>C63/C62</f>
        <v>2472.063087263361</v>
      </c>
    </row>
    <row r="66" spans="1:2" x14ac:dyDescent="0.3">
      <c r="A66" t="s">
        <v>169</v>
      </c>
    </row>
    <row r="67" spans="1:2" x14ac:dyDescent="0.3">
      <c r="A67" t="s">
        <v>170</v>
      </c>
    </row>
    <row r="68" spans="1:2" x14ac:dyDescent="0.3">
      <c r="A68" s="43">
        <f>C64/B28*4</f>
        <v>9.8882523490534446E-2</v>
      </c>
      <c r="B68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1F6D-E263-457C-B5FE-3BEE8B7BE875}">
  <dimension ref="A1:L92"/>
  <sheetViews>
    <sheetView workbookViewId="0"/>
  </sheetViews>
  <sheetFormatPr defaultRowHeight="14.4" x14ac:dyDescent="0.3"/>
  <cols>
    <col min="3" max="3" width="10.109375" bestFit="1" customWidth="1"/>
    <col min="12" max="12" width="9.109375" bestFit="1" customWidth="1"/>
  </cols>
  <sheetData>
    <row r="1" spans="1:1" x14ac:dyDescent="0.3">
      <c r="A1" s="23" t="s">
        <v>172</v>
      </c>
    </row>
    <row r="2" spans="1:1" x14ac:dyDescent="0.3">
      <c r="A2" t="s">
        <v>173</v>
      </c>
    </row>
    <row r="3" spans="1:1" x14ac:dyDescent="0.3">
      <c r="A3" t="s">
        <v>174</v>
      </c>
    </row>
    <row r="4" spans="1:1" x14ac:dyDescent="0.3">
      <c r="A4" t="s">
        <v>175</v>
      </c>
    </row>
    <row r="5" spans="1:1" x14ac:dyDescent="0.3">
      <c r="A5" t="s">
        <v>176</v>
      </c>
    </row>
    <row r="6" spans="1:1" x14ac:dyDescent="0.3">
      <c r="A6" t="s">
        <v>177</v>
      </c>
    </row>
    <row r="7" spans="1:1" x14ac:dyDescent="0.3">
      <c r="A7" t="s">
        <v>178</v>
      </c>
    </row>
    <row r="8" spans="1:1" x14ac:dyDescent="0.3">
      <c r="A8" t="s">
        <v>179</v>
      </c>
    </row>
    <row r="9" spans="1:1" x14ac:dyDescent="0.3">
      <c r="A9" t="s">
        <v>180</v>
      </c>
    </row>
    <row r="10" spans="1:1" x14ac:dyDescent="0.3">
      <c r="A10" t="s">
        <v>181</v>
      </c>
    </row>
    <row r="11" spans="1:1" x14ac:dyDescent="0.3">
      <c r="A11" t="s">
        <v>182</v>
      </c>
    </row>
    <row r="12" spans="1:1" x14ac:dyDescent="0.3">
      <c r="A12" t="s">
        <v>183</v>
      </c>
    </row>
    <row r="13" spans="1:1" x14ac:dyDescent="0.3">
      <c r="A13" t="s">
        <v>184</v>
      </c>
    </row>
    <row r="14" spans="1:1" x14ac:dyDescent="0.3">
      <c r="A14" t="s">
        <v>185</v>
      </c>
    </row>
    <row r="15" spans="1:1" x14ac:dyDescent="0.3">
      <c r="A15" t="s">
        <v>186</v>
      </c>
    </row>
    <row r="16" spans="1:1" x14ac:dyDescent="0.3">
      <c r="A16" t="s">
        <v>187</v>
      </c>
    </row>
    <row r="17" spans="1:2" x14ac:dyDescent="0.3">
      <c r="A17" t="s">
        <v>188</v>
      </c>
    </row>
    <row r="18" spans="1:2" x14ac:dyDescent="0.3">
      <c r="A18" t="s">
        <v>189</v>
      </c>
    </row>
    <row r="19" spans="1:2" x14ac:dyDescent="0.3">
      <c r="A19" t="s">
        <v>190</v>
      </c>
    </row>
    <row r="20" spans="1:2" x14ac:dyDescent="0.3">
      <c r="A20" t="s">
        <v>191</v>
      </c>
    </row>
    <row r="21" spans="1:2" x14ac:dyDescent="0.3">
      <c r="A21" t="s">
        <v>192</v>
      </c>
    </row>
    <row r="22" spans="1:2" x14ac:dyDescent="0.3">
      <c r="A22" t="s">
        <v>193</v>
      </c>
    </row>
    <row r="23" spans="1:2" x14ac:dyDescent="0.3">
      <c r="A23" t="s">
        <v>194</v>
      </c>
    </row>
    <row r="24" spans="1:2" x14ac:dyDescent="0.3">
      <c r="A24" t="s">
        <v>195</v>
      </c>
    </row>
    <row r="25" spans="1:2" x14ac:dyDescent="0.3">
      <c r="A25" t="s">
        <v>146</v>
      </c>
    </row>
    <row r="26" spans="1:2" x14ac:dyDescent="0.3">
      <c r="A26" t="s">
        <v>147</v>
      </c>
    </row>
    <row r="27" spans="1:2" x14ac:dyDescent="0.3">
      <c r="A27" t="s">
        <v>196</v>
      </c>
    </row>
    <row r="28" spans="1:2" x14ac:dyDescent="0.3">
      <c r="A28" t="s">
        <v>150</v>
      </c>
    </row>
    <row r="29" spans="1:2" x14ac:dyDescent="0.3">
      <c r="A29" t="s">
        <v>197</v>
      </c>
    </row>
    <row r="30" spans="1:2" x14ac:dyDescent="0.3">
      <c r="A30" t="s">
        <v>198</v>
      </c>
    </row>
    <row r="32" spans="1:2" x14ac:dyDescent="0.3">
      <c r="A32" t="s">
        <v>9</v>
      </c>
      <c r="B32" s="1">
        <v>5000</v>
      </c>
    </row>
    <row r="33" spans="1:3" x14ac:dyDescent="0.3">
      <c r="A33" t="s">
        <v>81</v>
      </c>
      <c r="B33" s="1">
        <v>100000</v>
      </c>
    </row>
    <row r="34" spans="1:3" x14ac:dyDescent="0.3">
      <c r="A34" t="s">
        <v>72</v>
      </c>
      <c r="B34" s="1">
        <v>1</v>
      </c>
    </row>
    <row r="35" spans="1:3" x14ac:dyDescent="0.3">
      <c r="A35" t="s">
        <v>12</v>
      </c>
      <c r="B35" s="1">
        <v>5200</v>
      </c>
    </row>
    <row r="36" spans="1:3" x14ac:dyDescent="0.3">
      <c r="A36" t="s">
        <v>13</v>
      </c>
      <c r="B36" s="2">
        <v>0.05</v>
      </c>
    </row>
    <row r="37" spans="1:3" x14ac:dyDescent="0.3">
      <c r="A37" t="s">
        <v>73</v>
      </c>
      <c r="B37" s="2">
        <v>0.02</v>
      </c>
    </row>
    <row r="38" spans="1:3" x14ac:dyDescent="0.3">
      <c r="A38" t="s">
        <v>74</v>
      </c>
      <c r="B38" s="2">
        <v>0.2</v>
      </c>
    </row>
    <row r="40" spans="1:3" x14ac:dyDescent="0.3">
      <c r="A40" t="s">
        <v>9</v>
      </c>
      <c r="B40" s="40">
        <f>B32</f>
        <v>5000</v>
      </c>
      <c r="C40" s="40">
        <f>B40</f>
        <v>5000</v>
      </c>
    </row>
    <row r="41" spans="1:3" x14ac:dyDescent="0.3">
      <c r="A41" t="s">
        <v>12</v>
      </c>
      <c r="B41" s="40">
        <f>B35</f>
        <v>5200</v>
      </c>
      <c r="C41" s="40">
        <f>B32</f>
        <v>5000</v>
      </c>
    </row>
    <row r="42" spans="1:3" x14ac:dyDescent="0.3">
      <c r="A42" t="s">
        <v>72</v>
      </c>
      <c r="B42">
        <f>B34</f>
        <v>1</v>
      </c>
      <c r="C42" s="26">
        <f>B42</f>
        <v>1</v>
      </c>
    </row>
    <row r="43" spans="1:3" x14ac:dyDescent="0.3">
      <c r="A43" t="s">
        <v>13</v>
      </c>
      <c r="B43" s="25">
        <f>B36</f>
        <v>0.05</v>
      </c>
      <c r="C43" s="25">
        <f>B43</f>
        <v>0.05</v>
      </c>
    </row>
    <row r="44" spans="1:3" x14ac:dyDescent="0.3">
      <c r="A44" t="s">
        <v>73</v>
      </c>
      <c r="B44" s="25">
        <f>B37</f>
        <v>0.02</v>
      </c>
      <c r="C44" s="25">
        <f>B44</f>
        <v>0.02</v>
      </c>
    </row>
    <row r="45" spans="1:3" x14ac:dyDescent="0.3">
      <c r="A45" t="s">
        <v>74</v>
      </c>
      <c r="B45" s="25">
        <f>B38</f>
        <v>0.2</v>
      </c>
      <c r="C45" s="25">
        <f>B45</f>
        <v>0.2</v>
      </c>
    </row>
    <row r="46" spans="1:3" x14ac:dyDescent="0.3">
      <c r="A46" t="s">
        <v>75</v>
      </c>
      <c r="B46" s="18">
        <f xml:space="preserve"> 1 / (B45 * SQRT(B42)) * (LN(B40/B41) + (B43 - B44 + B45^2/2)*B42)</f>
        <v>5.3896434233593679E-2</v>
      </c>
      <c r="C46" s="18">
        <f xml:space="preserve"> 1 / (C45 * SQRT(C42)) * (LN(C40/C41) + (C43 - C44 + C45^2/2)*C42)</f>
        <v>0.25</v>
      </c>
    </row>
    <row r="47" spans="1:3" x14ac:dyDescent="0.3">
      <c r="A47" t="s">
        <v>76</v>
      </c>
      <c r="B47" s="18">
        <f xml:space="preserve"> 1 / (B45 * SQRT(B42)) * (LN(B40/B41) + (B43 - B44 - B45^2/2)*B42)</f>
        <v>-0.14610356576640635</v>
      </c>
      <c r="C47" s="18">
        <f xml:space="preserve"> 1 / (C45 * SQRT(C42)) * (LN(C40/C41) + (C43 - C44 - C45^2/2)*C42)</f>
        <v>4.9999999999999989E-2</v>
      </c>
    </row>
    <row r="48" spans="1:3" x14ac:dyDescent="0.3">
      <c r="A48" t="s">
        <v>77</v>
      </c>
      <c r="B48" s="31">
        <f>B40 * EXP(-B44*B42) *_xlfn.NORM.DIST(B46, 0, 1, 1) - B41 * EXP(-B43*B42) *_xlfn.NORM.DIST(B47, 0, 1, 1)</f>
        <v>369.91563514290829</v>
      </c>
      <c r="C48" s="21">
        <f>C40 * EXP(-C44*C42) *_xlfn.NORM.DIST(C46, 0, 1, 1) - C41 * EXP(-C43*C42) *_xlfn.NORM.DIST(C47, 0, 1, 1)</f>
        <v>461.35027540770216</v>
      </c>
    </row>
    <row r="49" spans="1:12" x14ac:dyDescent="0.3">
      <c r="A49" t="s">
        <v>78</v>
      </c>
      <c r="B49" s="21">
        <f>B41 * EXP(-B43*B42) *_xlfn.NORM.DIST(-B47, 0, 1, 1) - B40 * EXP(-B44*B42) *_xlfn.NORM.DIST(-B46, 0, 1, 1)</f>
        <v>415.31527601284415</v>
      </c>
      <c r="C49" s="31">
        <f>C41 * EXP(-C43*C42) *_xlfn.NORM.DIST(-C47, 0, 1, 1) - C40 * EXP(-C44*C42) *_xlfn.NORM.DIST(-C46, 0, 1, 1)</f>
        <v>316.50403137749572</v>
      </c>
    </row>
    <row r="50" spans="1:12" x14ac:dyDescent="0.3">
      <c r="A50" t="s">
        <v>79</v>
      </c>
      <c r="B50" s="21">
        <f>EXP(-B43*B42) *_xlfn.NORM.DIST(B47, 0, 1, 1)</f>
        <v>0.42036713203553872</v>
      </c>
      <c r="C50" s="21">
        <f>EXP(-C43*C42) *_xlfn.NORM.DIST(C47, 0, 1, 1)</f>
        <v>0.49458109105322356</v>
      </c>
    </row>
    <row r="51" spans="1:12" x14ac:dyDescent="0.3">
      <c r="A51" t="s">
        <v>80</v>
      </c>
      <c r="B51" s="21">
        <f>EXP(-B43*B42) *_xlfn.NORM.DIST(-B47, 0, 1, 1)</f>
        <v>0.53086229246517536</v>
      </c>
      <c r="C51" s="21">
        <f>EXP(-C43*C42) *_xlfn.NORM.DIST(-C47, 0, 1, 1)</f>
        <v>0.45664833344749045</v>
      </c>
      <c r="G51" t="s">
        <v>212</v>
      </c>
      <c r="H51" t="s">
        <v>213</v>
      </c>
      <c r="I51" t="s">
        <v>214</v>
      </c>
      <c r="J51" t="s">
        <v>215</v>
      </c>
      <c r="K51" t="s">
        <v>217</v>
      </c>
      <c r="L51" t="s">
        <v>216</v>
      </c>
    </row>
    <row r="52" spans="1:12" x14ac:dyDescent="0.3">
      <c r="G52">
        <v>4500</v>
      </c>
      <c r="H52" s="26">
        <v>0</v>
      </c>
      <c r="I52" s="26">
        <f>$B$64*MAX(G52-$A$64, 0)</f>
        <v>0</v>
      </c>
      <c r="J52" s="26">
        <f>$D$68*MAX($B$68-G52, 0)</f>
        <v>-3982.9747854340321</v>
      </c>
      <c r="K52" s="26">
        <f>SUM(H52:J52)</f>
        <v>-3982.9747854340321</v>
      </c>
      <c r="L52" s="26">
        <f>$B$33/$B$32 * (G52-$B$32)</f>
        <v>-10000</v>
      </c>
    </row>
    <row r="53" spans="1:12" x14ac:dyDescent="0.3">
      <c r="A53" t="s">
        <v>199</v>
      </c>
      <c r="G53">
        <v>4525</v>
      </c>
      <c r="H53" s="26">
        <v>0</v>
      </c>
      <c r="I53" s="26">
        <f t="shared" ref="I53:I92" si="0">$B$64*MAX(G53-$A$64, 0)</f>
        <v>0</v>
      </c>
      <c r="J53" s="26">
        <f t="shared" ref="J53:J92" si="1">$D$68*MAX($B$68-G53, 0)</f>
        <v>-3783.8260461623304</v>
      </c>
      <c r="K53" s="26">
        <f t="shared" ref="K53:K92" si="2">SUM(H53:J53)</f>
        <v>-3783.8260461623304</v>
      </c>
      <c r="L53" s="26">
        <f t="shared" ref="L53:L92" si="3">$B$33/$B$32 * (G53-$B$32)</f>
        <v>-9500</v>
      </c>
    </row>
    <row r="54" spans="1:12" x14ac:dyDescent="0.3">
      <c r="A54" t="s">
        <v>200</v>
      </c>
      <c r="G54">
        <v>4550</v>
      </c>
      <c r="H54" s="26">
        <v>0</v>
      </c>
      <c r="I54" s="26">
        <f t="shared" si="0"/>
        <v>0</v>
      </c>
      <c r="J54" s="26">
        <f t="shared" si="1"/>
        <v>-3584.6773068906286</v>
      </c>
      <c r="K54" s="26">
        <f t="shared" si="2"/>
        <v>-3584.6773068906286</v>
      </c>
      <c r="L54" s="26">
        <f t="shared" si="3"/>
        <v>-9000</v>
      </c>
    </row>
    <row r="55" spans="1:12" x14ac:dyDescent="0.3">
      <c r="A55" t="s">
        <v>201</v>
      </c>
      <c r="G55">
        <v>4575</v>
      </c>
      <c r="H55" s="26">
        <v>0</v>
      </c>
      <c r="I55" s="26">
        <f t="shared" si="0"/>
        <v>0</v>
      </c>
      <c r="J55" s="26">
        <f t="shared" si="1"/>
        <v>-3385.5285676189274</v>
      </c>
      <c r="K55" s="26">
        <f t="shared" si="2"/>
        <v>-3385.5285676189274</v>
      </c>
      <c r="L55" s="26">
        <f t="shared" si="3"/>
        <v>-8500</v>
      </c>
    </row>
    <row r="56" spans="1:12" x14ac:dyDescent="0.3">
      <c r="A56" t="s">
        <v>202</v>
      </c>
      <c r="G56">
        <v>4600</v>
      </c>
      <c r="H56" s="26">
        <v>0</v>
      </c>
      <c r="I56" s="26">
        <f t="shared" si="0"/>
        <v>0</v>
      </c>
      <c r="J56" s="26">
        <f t="shared" si="1"/>
        <v>-3186.3798283472256</v>
      </c>
      <c r="K56" s="26">
        <f t="shared" si="2"/>
        <v>-3186.3798283472256</v>
      </c>
      <c r="L56" s="26">
        <f t="shared" si="3"/>
        <v>-8000</v>
      </c>
    </row>
    <row r="57" spans="1:12" x14ac:dyDescent="0.3">
      <c r="G57">
        <v>4625</v>
      </c>
      <c r="H57" s="26">
        <v>0</v>
      </c>
      <c r="I57" s="26">
        <f t="shared" si="0"/>
        <v>0</v>
      </c>
      <c r="J57" s="26">
        <f t="shared" si="1"/>
        <v>-2987.2310890755239</v>
      </c>
      <c r="K57" s="26">
        <f t="shared" si="2"/>
        <v>-2987.2310890755239</v>
      </c>
      <c r="L57" s="26">
        <f t="shared" si="3"/>
        <v>-7500</v>
      </c>
    </row>
    <row r="58" spans="1:12" x14ac:dyDescent="0.3">
      <c r="A58" t="s">
        <v>203</v>
      </c>
      <c r="G58">
        <v>4650</v>
      </c>
      <c r="H58" s="26">
        <v>0</v>
      </c>
      <c r="I58" s="26">
        <f t="shared" si="0"/>
        <v>0</v>
      </c>
      <c r="J58" s="26">
        <f t="shared" si="1"/>
        <v>-2788.0823498038226</v>
      </c>
      <c r="K58" s="26">
        <f t="shared" si="2"/>
        <v>-2788.0823498038226</v>
      </c>
      <c r="L58" s="26">
        <f t="shared" si="3"/>
        <v>-7000</v>
      </c>
    </row>
    <row r="59" spans="1:12" x14ac:dyDescent="0.3">
      <c r="A59" t="s">
        <v>205</v>
      </c>
      <c r="C59" s="26">
        <f>B33*EXP(-B36*B34)</f>
        <v>95122.942450071409</v>
      </c>
      <c r="G59">
        <v>4675</v>
      </c>
      <c r="H59" s="26">
        <v>0</v>
      </c>
      <c r="I59" s="26">
        <f t="shared" si="0"/>
        <v>0</v>
      </c>
      <c r="J59" s="26">
        <f t="shared" si="1"/>
        <v>-2588.9336105321208</v>
      </c>
      <c r="K59" s="26">
        <f t="shared" si="2"/>
        <v>-2588.9336105321208</v>
      </c>
      <c r="L59" s="26">
        <f t="shared" si="3"/>
        <v>-6500</v>
      </c>
    </row>
    <row r="60" spans="1:12" x14ac:dyDescent="0.3">
      <c r="A60" t="s">
        <v>204</v>
      </c>
      <c r="C60" s="26">
        <f>C59*EXP(B36*B34)</f>
        <v>100000.00000000001</v>
      </c>
      <c r="G60">
        <v>4700</v>
      </c>
      <c r="H60" s="26">
        <v>0</v>
      </c>
      <c r="I60" s="26">
        <f t="shared" si="0"/>
        <v>0</v>
      </c>
      <c r="J60" s="26">
        <f t="shared" si="1"/>
        <v>-2389.7848712604191</v>
      </c>
      <c r="K60" s="26">
        <f t="shared" si="2"/>
        <v>-2389.7848712604191</v>
      </c>
      <c r="L60" s="26">
        <f t="shared" si="3"/>
        <v>-6000</v>
      </c>
    </row>
    <row r="61" spans="1:12" x14ac:dyDescent="0.3">
      <c r="G61">
        <v>4725</v>
      </c>
      <c r="H61" s="26">
        <v>0</v>
      </c>
      <c r="I61" s="26">
        <f t="shared" si="0"/>
        <v>0</v>
      </c>
      <c r="J61" s="26">
        <f t="shared" si="1"/>
        <v>-2190.6361319887178</v>
      </c>
      <c r="K61" s="26">
        <f t="shared" si="2"/>
        <v>-2190.6361319887178</v>
      </c>
      <c r="L61" s="26">
        <f t="shared" si="3"/>
        <v>-5500</v>
      </c>
    </row>
    <row r="62" spans="1:12" x14ac:dyDescent="0.3">
      <c r="A62" t="s">
        <v>206</v>
      </c>
      <c r="G62">
        <v>4750</v>
      </c>
      <c r="H62" s="26">
        <v>0</v>
      </c>
      <c r="I62" s="26">
        <f t="shared" si="0"/>
        <v>0</v>
      </c>
      <c r="J62" s="26">
        <f t="shared" si="1"/>
        <v>-1991.4873927170161</v>
      </c>
      <c r="K62" s="26">
        <f t="shared" si="2"/>
        <v>-1991.4873927170161</v>
      </c>
      <c r="L62" s="26">
        <f t="shared" si="3"/>
        <v>-5000</v>
      </c>
    </row>
    <row r="63" spans="1:12" x14ac:dyDescent="0.3">
      <c r="A63" t="s">
        <v>89</v>
      </c>
      <c r="B63" t="s">
        <v>85</v>
      </c>
      <c r="C63" t="s">
        <v>86</v>
      </c>
      <c r="D63" t="s">
        <v>114</v>
      </c>
      <c r="G63">
        <v>4775</v>
      </c>
      <c r="H63" s="26">
        <v>0</v>
      </c>
      <c r="I63" s="26">
        <f t="shared" si="0"/>
        <v>0</v>
      </c>
      <c r="J63" s="26">
        <f t="shared" si="1"/>
        <v>-1792.3386534453143</v>
      </c>
      <c r="K63" s="26">
        <f t="shared" si="2"/>
        <v>-1792.3386534453143</v>
      </c>
      <c r="L63" s="26">
        <f t="shared" si="3"/>
        <v>-4500</v>
      </c>
    </row>
    <row r="64" spans="1:12" x14ac:dyDescent="0.3">
      <c r="A64" s="40">
        <f>B41</f>
        <v>5200</v>
      </c>
      <c r="B64">
        <f>B33/B32</f>
        <v>20</v>
      </c>
      <c r="C64" s="21">
        <f>B48</f>
        <v>369.91563514290829</v>
      </c>
      <c r="D64" s="26">
        <f>C64*B64</f>
        <v>7398.3127028581657</v>
      </c>
      <c r="G64">
        <v>4800</v>
      </c>
      <c r="H64" s="26">
        <v>0</v>
      </c>
      <c r="I64" s="26">
        <f t="shared" si="0"/>
        <v>0</v>
      </c>
      <c r="J64" s="26">
        <f t="shared" si="1"/>
        <v>-1593.1899141736128</v>
      </c>
      <c r="K64" s="26">
        <f t="shared" si="2"/>
        <v>-1593.1899141736128</v>
      </c>
      <c r="L64" s="26">
        <f t="shared" si="3"/>
        <v>-4000</v>
      </c>
    </row>
    <row r="65" spans="1:12" x14ac:dyDescent="0.3">
      <c r="G65">
        <v>4825</v>
      </c>
      <c r="H65" s="26">
        <v>0</v>
      </c>
      <c r="I65" s="26">
        <f t="shared" si="0"/>
        <v>0</v>
      </c>
      <c r="J65" s="26">
        <f t="shared" si="1"/>
        <v>-1394.0411749019113</v>
      </c>
      <c r="K65" s="26">
        <f t="shared" si="2"/>
        <v>-1394.0411749019113</v>
      </c>
      <c r="L65" s="26">
        <f t="shared" si="3"/>
        <v>-3500</v>
      </c>
    </row>
    <row r="66" spans="1:12" x14ac:dyDescent="0.3">
      <c r="A66" t="s">
        <v>207</v>
      </c>
      <c r="G66">
        <v>4850</v>
      </c>
      <c r="H66" s="26">
        <v>0</v>
      </c>
      <c r="I66" s="26">
        <f t="shared" si="0"/>
        <v>0</v>
      </c>
      <c r="J66" s="26">
        <f t="shared" si="1"/>
        <v>-1194.8924356302095</v>
      </c>
      <c r="K66" s="26">
        <f t="shared" si="2"/>
        <v>-1194.8924356302095</v>
      </c>
      <c r="L66" s="26">
        <f t="shared" si="3"/>
        <v>-3000</v>
      </c>
    </row>
    <row r="67" spans="1:12" x14ac:dyDescent="0.3">
      <c r="A67" t="s">
        <v>211</v>
      </c>
      <c r="B67" t="s">
        <v>89</v>
      </c>
      <c r="C67" t="s">
        <v>208</v>
      </c>
      <c r="D67" t="s">
        <v>209</v>
      </c>
      <c r="G67">
        <v>4875</v>
      </c>
      <c r="H67" s="26">
        <v>0</v>
      </c>
      <c r="I67" s="26">
        <f t="shared" si="0"/>
        <v>0</v>
      </c>
      <c r="J67" s="26">
        <f t="shared" si="1"/>
        <v>-995.74369635850803</v>
      </c>
      <c r="K67" s="26">
        <f t="shared" si="2"/>
        <v>-995.74369635850803</v>
      </c>
      <c r="L67" s="26">
        <f t="shared" si="3"/>
        <v>-2500</v>
      </c>
    </row>
    <row r="68" spans="1:12" x14ac:dyDescent="0.3">
      <c r="A68" s="26">
        <f>(B33-C59-D64)</f>
        <v>-2521.2551529295743</v>
      </c>
      <c r="B68" s="40">
        <f>C41</f>
        <v>5000</v>
      </c>
      <c r="C68" s="21">
        <f>C49</f>
        <v>316.50403137749572</v>
      </c>
      <c r="D68" s="21">
        <f>A68/C68</f>
        <v>-7.9659495708680641</v>
      </c>
      <c r="G68">
        <v>4900</v>
      </c>
      <c r="H68" s="26">
        <v>0</v>
      </c>
      <c r="I68" s="26">
        <f t="shared" si="0"/>
        <v>0</v>
      </c>
      <c r="J68" s="26">
        <f t="shared" si="1"/>
        <v>-796.5949570868064</v>
      </c>
      <c r="K68" s="26">
        <f t="shared" si="2"/>
        <v>-796.5949570868064</v>
      </c>
      <c r="L68" s="26">
        <f t="shared" si="3"/>
        <v>-2000</v>
      </c>
    </row>
    <row r="69" spans="1:12" x14ac:dyDescent="0.3">
      <c r="G69">
        <v>4925</v>
      </c>
      <c r="H69" s="26">
        <v>0</v>
      </c>
      <c r="I69" s="26">
        <f t="shared" si="0"/>
        <v>0</v>
      </c>
      <c r="J69" s="26">
        <f t="shared" si="1"/>
        <v>-597.44621781510477</v>
      </c>
      <c r="K69" s="26">
        <f t="shared" si="2"/>
        <v>-597.44621781510477</v>
      </c>
      <c r="L69" s="26">
        <f t="shared" si="3"/>
        <v>-1500</v>
      </c>
    </row>
    <row r="70" spans="1:12" x14ac:dyDescent="0.3">
      <c r="A70" t="s">
        <v>210</v>
      </c>
      <c r="G70">
        <v>4950</v>
      </c>
      <c r="H70" s="26">
        <v>0</v>
      </c>
      <c r="I70" s="26">
        <f t="shared" si="0"/>
        <v>0</v>
      </c>
      <c r="J70" s="26">
        <f t="shared" si="1"/>
        <v>-398.2974785434032</v>
      </c>
      <c r="K70" s="26">
        <f t="shared" si="2"/>
        <v>-398.2974785434032</v>
      </c>
      <c r="L70" s="26">
        <f t="shared" si="3"/>
        <v>-1000</v>
      </c>
    </row>
    <row r="71" spans="1:12" x14ac:dyDescent="0.3">
      <c r="A71" s="43">
        <f>ABS(D68) / (B33/B32)</f>
        <v>0.39829747854340319</v>
      </c>
      <c r="G71">
        <v>4975</v>
      </c>
      <c r="H71" s="26">
        <v>0</v>
      </c>
      <c r="I71" s="26">
        <f t="shared" si="0"/>
        <v>0</v>
      </c>
      <c r="J71" s="26">
        <f t="shared" si="1"/>
        <v>-199.1487392717016</v>
      </c>
      <c r="K71" s="26">
        <f t="shared" si="2"/>
        <v>-199.1487392717016</v>
      </c>
      <c r="L71" s="26">
        <f t="shared" si="3"/>
        <v>-500</v>
      </c>
    </row>
    <row r="72" spans="1:12" x14ac:dyDescent="0.3">
      <c r="G72">
        <v>5000</v>
      </c>
      <c r="H72" s="26">
        <v>0</v>
      </c>
      <c r="I72" s="26">
        <f t="shared" si="0"/>
        <v>0</v>
      </c>
      <c r="J72" s="26">
        <f t="shared" si="1"/>
        <v>0</v>
      </c>
      <c r="K72" s="26">
        <f t="shared" si="2"/>
        <v>0</v>
      </c>
      <c r="L72" s="26">
        <f t="shared" si="3"/>
        <v>0</v>
      </c>
    </row>
    <row r="73" spans="1:12" x14ac:dyDescent="0.3">
      <c r="G73">
        <v>5025</v>
      </c>
      <c r="H73" s="26">
        <v>0</v>
      </c>
      <c r="I73" s="26">
        <f t="shared" si="0"/>
        <v>0</v>
      </c>
      <c r="J73" s="26">
        <f t="shared" si="1"/>
        <v>0</v>
      </c>
      <c r="K73" s="26">
        <f t="shared" si="2"/>
        <v>0</v>
      </c>
      <c r="L73" s="26">
        <f t="shared" si="3"/>
        <v>500</v>
      </c>
    </row>
    <row r="74" spans="1:12" x14ac:dyDescent="0.3">
      <c r="G74">
        <v>5050</v>
      </c>
      <c r="H74" s="26">
        <v>0</v>
      </c>
      <c r="I74" s="26">
        <f t="shared" si="0"/>
        <v>0</v>
      </c>
      <c r="J74" s="26">
        <f t="shared" si="1"/>
        <v>0</v>
      </c>
      <c r="K74" s="26">
        <f t="shared" si="2"/>
        <v>0</v>
      </c>
      <c r="L74" s="26">
        <f t="shared" si="3"/>
        <v>1000</v>
      </c>
    </row>
    <row r="75" spans="1:12" x14ac:dyDescent="0.3">
      <c r="G75">
        <v>5075</v>
      </c>
      <c r="H75" s="26">
        <v>0</v>
      </c>
      <c r="I75" s="26">
        <f t="shared" si="0"/>
        <v>0</v>
      </c>
      <c r="J75" s="26">
        <f t="shared" si="1"/>
        <v>0</v>
      </c>
      <c r="K75" s="26">
        <f t="shared" si="2"/>
        <v>0</v>
      </c>
      <c r="L75" s="26">
        <f t="shared" si="3"/>
        <v>1500</v>
      </c>
    </row>
    <row r="76" spans="1:12" x14ac:dyDescent="0.3">
      <c r="G76">
        <v>5100</v>
      </c>
      <c r="H76" s="26">
        <v>0</v>
      </c>
      <c r="I76" s="26">
        <f t="shared" si="0"/>
        <v>0</v>
      </c>
      <c r="J76" s="26">
        <f t="shared" si="1"/>
        <v>0</v>
      </c>
      <c r="K76" s="26">
        <f t="shared" si="2"/>
        <v>0</v>
      </c>
      <c r="L76" s="26">
        <f t="shared" si="3"/>
        <v>2000</v>
      </c>
    </row>
    <row r="77" spans="1:12" x14ac:dyDescent="0.3">
      <c r="G77">
        <v>5125</v>
      </c>
      <c r="H77" s="26">
        <v>0</v>
      </c>
      <c r="I77" s="26">
        <f t="shared" si="0"/>
        <v>0</v>
      </c>
      <c r="J77" s="26">
        <f t="shared" si="1"/>
        <v>0</v>
      </c>
      <c r="K77" s="26">
        <f t="shared" si="2"/>
        <v>0</v>
      </c>
      <c r="L77" s="26">
        <f t="shared" si="3"/>
        <v>2500</v>
      </c>
    </row>
    <row r="78" spans="1:12" x14ac:dyDescent="0.3">
      <c r="G78">
        <v>5150</v>
      </c>
      <c r="H78" s="26">
        <v>0</v>
      </c>
      <c r="I78" s="26">
        <f t="shared" si="0"/>
        <v>0</v>
      </c>
      <c r="J78" s="26">
        <f t="shared" si="1"/>
        <v>0</v>
      </c>
      <c r="K78" s="26">
        <f t="shared" si="2"/>
        <v>0</v>
      </c>
      <c r="L78" s="26">
        <f t="shared" si="3"/>
        <v>3000</v>
      </c>
    </row>
    <row r="79" spans="1:12" x14ac:dyDescent="0.3">
      <c r="G79">
        <v>5175</v>
      </c>
      <c r="H79" s="26">
        <v>0</v>
      </c>
      <c r="I79" s="26">
        <f t="shared" si="0"/>
        <v>0</v>
      </c>
      <c r="J79" s="26">
        <f t="shared" si="1"/>
        <v>0</v>
      </c>
      <c r="K79" s="26">
        <f t="shared" si="2"/>
        <v>0</v>
      </c>
      <c r="L79" s="26">
        <f t="shared" si="3"/>
        <v>3500</v>
      </c>
    </row>
    <row r="80" spans="1:12" x14ac:dyDescent="0.3">
      <c r="G80">
        <v>5200</v>
      </c>
      <c r="H80" s="26">
        <v>0</v>
      </c>
      <c r="I80" s="26">
        <f t="shared" si="0"/>
        <v>0</v>
      </c>
      <c r="J80" s="26">
        <f t="shared" si="1"/>
        <v>0</v>
      </c>
      <c r="K80" s="26">
        <f t="shared" si="2"/>
        <v>0</v>
      </c>
      <c r="L80" s="26">
        <f t="shared" si="3"/>
        <v>4000</v>
      </c>
    </row>
    <row r="81" spans="7:12" x14ac:dyDescent="0.3">
      <c r="G81">
        <v>5225</v>
      </c>
      <c r="H81" s="26">
        <v>0</v>
      </c>
      <c r="I81" s="26">
        <f t="shared" si="0"/>
        <v>500</v>
      </c>
      <c r="J81" s="26">
        <f t="shared" si="1"/>
        <v>0</v>
      </c>
      <c r="K81" s="26">
        <f t="shared" si="2"/>
        <v>500</v>
      </c>
      <c r="L81" s="26">
        <f t="shared" si="3"/>
        <v>4500</v>
      </c>
    </row>
    <row r="82" spans="7:12" x14ac:dyDescent="0.3">
      <c r="G82">
        <v>5250</v>
      </c>
      <c r="H82" s="26">
        <v>0</v>
      </c>
      <c r="I82" s="26">
        <f t="shared" si="0"/>
        <v>1000</v>
      </c>
      <c r="J82" s="26">
        <f t="shared" si="1"/>
        <v>0</v>
      </c>
      <c r="K82" s="26">
        <f t="shared" si="2"/>
        <v>1000</v>
      </c>
      <c r="L82" s="26">
        <f t="shared" si="3"/>
        <v>5000</v>
      </c>
    </row>
    <row r="83" spans="7:12" x14ac:dyDescent="0.3">
      <c r="G83">
        <v>5275</v>
      </c>
      <c r="H83" s="26">
        <v>0</v>
      </c>
      <c r="I83" s="26">
        <f t="shared" si="0"/>
        <v>1500</v>
      </c>
      <c r="J83" s="26">
        <f t="shared" si="1"/>
        <v>0</v>
      </c>
      <c r="K83" s="26">
        <f t="shared" si="2"/>
        <v>1500</v>
      </c>
      <c r="L83" s="26">
        <f t="shared" si="3"/>
        <v>5500</v>
      </c>
    </row>
    <row r="84" spans="7:12" x14ac:dyDescent="0.3">
      <c r="G84">
        <v>5300</v>
      </c>
      <c r="H84" s="26">
        <v>0</v>
      </c>
      <c r="I84" s="26">
        <f t="shared" si="0"/>
        <v>2000</v>
      </c>
      <c r="J84" s="26">
        <f t="shared" si="1"/>
        <v>0</v>
      </c>
      <c r="K84" s="26">
        <f t="shared" si="2"/>
        <v>2000</v>
      </c>
      <c r="L84" s="26">
        <f t="shared" si="3"/>
        <v>6000</v>
      </c>
    </row>
    <row r="85" spans="7:12" x14ac:dyDescent="0.3">
      <c r="G85">
        <v>5325</v>
      </c>
      <c r="H85" s="26">
        <v>0</v>
      </c>
      <c r="I85" s="26">
        <f t="shared" si="0"/>
        <v>2500</v>
      </c>
      <c r="J85" s="26">
        <f t="shared" si="1"/>
        <v>0</v>
      </c>
      <c r="K85" s="26">
        <f t="shared" si="2"/>
        <v>2500</v>
      </c>
      <c r="L85" s="26">
        <f t="shared" si="3"/>
        <v>6500</v>
      </c>
    </row>
    <row r="86" spans="7:12" x14ac:dyDescent="0.3">
      <c r="G86">
        <v>5350</v>
      </c>
      <c r="H86" s="26">
        <v>0</v>
      </c>
      <c r="I86" s="26">
        <f t="shared" si="0"/>
        <v>3000</v>
      </c>
      <c r="J86" s="26">
        <f t="shared" si="1"/>
        <v>0</v>
      </c>
      <c r="K86" s="26">
        <f t="shared" si="2"/>
        <v>3000</v>
      </c>
      <c r="L86" s="26">
        <f t="shared" si="3"/>
        <v>7000</v>
      </c>
    </row>
    <row r="87" spans="7:12" x14ac:dyDescent="0.3">
      <c r="G87">
        <v>5375</v>
      </c>
      <c r="H87" s="26">
        <v>0</v>
      </c>
      <c r="I87" s="26">
        <f t="shared" si="0"/>
        <v>3500</v>
      </c>
      <c r="J87" s="26">
        <f t="shared" si="1"/>
        <v>0</v>
      </c>
      <c r="K87" s="26">
        <f t="shared" si="2"/>
        <v>3500</v>
      </c>
      <c r="L87" s="26">
        <f t="shared" si="3"/>
        <v>7500</v>
      </c>
    </row>
    <row r="88" spans="7:12" x14ac:dyDescent="0.3">
      <c r="G88">
        <v>5400</v>
      </c>
      <c r="H88" s="26">
        <v>0</v>
      </c>
      <c r="I88" s="26">
        <f t="shared" si="0"/>
        <v>4000</v>
      </c>
      <c r="J88" s="26">
        <f t="shared" si="1"/>
        <v>0</v>
      </c>
      <c r="K88" s="26">
        <f t="shared" si="2"/>
        <v>4000</v>
      </c>
      <c r="L88" s="26">
        <f t="shared" si="3"/>
        <v>8000</v>
      </c>
    </row>
    <row r="89" spans="7:12" x14ac:dyDescent="0.3">
      <c r="G89">
        <v>5425</v>
      </c>
      <c r="H89" s="26">
        <v>0</v>
      </c>
      <c r="I89" s="26">
        <f t="shared" si="0"/>
        <v>4500</v>
      </c>
      <c r="J89" s="26">
        <f t="shared" si="1"/>
        <v>0</v>
      </c>
      <c r="K89" s="26">
        <f t="shared" si="2"/>
        <v>4500</v>
      </c>
      <c r="L89" s="26">
        <f t="shared" si="3"/>
        <v>8500</v>
      </c>
    </row>
    <row r="90" spans="7:12" x14ac:dyDescent="0.3">
      <c r="G90">
        <v>5450</v>
      </c>
      <c r="H90" s="26">
        <v>0</v>
      </c>
      <c r="I90" s="26">
        <f t="shared" si="0"/>
        <v>5000</v>
      </c>
      <c r="J90" s="26">
        <f t="shared" si="1"/>
        <v>0</v>
      </c>
      <c r="K90" s="26">
        <f t="shared" si="2"/>
        <v>5000</v>
      </c>
      <c r="L90" s="26">
        <f t="shared" si="3"/>
        <v>9000</v>
      </c>
    </row>
    <row r="91" spans="7:12" x14ac:dyDescent="0.3">
      <c r="G91">
        <v>5475</v>
      </c>
      <c r="H91" s="26">
        <v>0</v>
      </c>
      <c r="I91" s="26">
        <f t="shared" si="0"/>
        <v>5500</v>
      </c>
      <c r="J91" s="26">
        <f t="shared" si="1"/>
        <v>0</v>
      </c>
      <c r="K91" s="26">
        <f t="shared" si="2"/>
        <v>5500</v>
      </c>
      <c r="L91" s="26">
        <f t="shared" si="3"/>
        <v>9500</v>
      </c>
    </row>
    <row r="92" spans="7:12" x14ac:dyDescent="0.3">
      <c r="G92">
        <v>5500</v>
      </c>
      <c r="H92" s="26">
        <v>0</v>
      </c>
      <c r="I92" s="26">
        <f t="shared" si="0"/>
        <v>6000</v>
      </c>
      <c r="J92" s="26">
        <f t="shared" si="1"/>
        <v>0</v>
      </c>
      <c r="K92" s="26">
        <f t="shared" si="2"/>
        <v>6000</v>
      </c>
      <c r="L92" s="26">
        <f t="shared" si="3"/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Problem2</vt:lpstr>
      <vt:lpstr>Problem3</vt:lpstr>
      <vt:lpstr>Problem4</vt:lpstr>
      <vt:lpstr>Problem5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Bakulin</dc:creator>
  <cp:lastModifiedBy>Artem Bakulin</cp:lastModifiedBy>
  <dcterms:created xsi:type="dcterms:W3CDTF">2024-03-24T13:05:50Z</dcterms:created>
  <dcterms:modified xsi:type="dcterms:W3CDTF">2024-04-13T10:37:03Z</dcterms:modified>
</cp:coreProperties>
</file>