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k\latex\derivatives\homework\"/>
    </mc:Choice>
  </mc:AlternateContent>
  <xr:revisionPtr revIDLastSave="0" documentId="13_ncr:1_{B8459D27-8003-42F4-8BAF-5B8FFDB19B7B}" xr6:coauthVersionLast="47" xr6:coauthVersionMax="47" xr10:uidLastSave="{00000000-0000-0000-0000-000000000000}"/>
  <bookViews>
    <workbookView xWindow="-110" yWindow="-110" windowWidth="25820" windowHeight="13900" xr2:uid="{6974D2F5-24D1-4EBC-9AAD-48BE7890D5F6}"/>
  </bookViews>
  <sheets>
    <sheet name="Problem1" sheetId="1" r:id="rId1"/>
    <sheet name="Problem2" sheetId="2" r:id="rId2"/>
    <sheet name="Problem3" sheetId="3" r:id="rId3"/>
    <sheet name="Problem4" sheetId="4" r:id="rId4"/>
    <sheet name="Problem5" sheetId="5" r:id="rId5"/>
    <sheet name="Problem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6" l="1"/>
  <c r="B32" i="6"/>
  <c r="B33" i="6"/>
  <c r="B34" i="6"/>
  <c r="B35" i="6"/>
  <c r="B31" i="6"/>
  <c r="B26" i="6"/>
  <c r="B27" i="6" s="1"/>
  <c r="D50" i="5"/>
  <c r="C50" i="5"/>
  <c r="B42" i="5"/>
  <c r="B48" i="5" s="1"/>
  <c r="B32" i="5"/>
  <c r="C32" i="5" s="1"/>
  <c r="D32" i="5" s="1"/>
  <c r="E32" i="5" s="1"/>
  <c r="D30" i="5"/>
  <c r="D29" i="5"/>
  <c r="C29" i="5"/>
  <c r="E29" i="5" s="1"/>
  <c r="D28" i="5"/>
  <c r="C30" i="5"/>
  <c r="E30" i="5" s="1"/>
  <c r="B35" i="5"/>
  <c r="B37" i="5" s="1"/>
  <c r="C48" i="5" s="1"/>
  <c r="B34" i="5"/>
  <c r="B40" i="5" s="1"/>
  <c r="C33" i="5"/>
  <c r="C31" i="5"/>
  <c r="D31" i="5" s="1"/>
  <c r="E31" i="5" s="1"/>
  <c r="E28" i="5"/>
  <c r="C28" i="5"/>
  <c r="C41" i="4"/>
  <c r="C40" i="4"/>
  <c r="C39" i="4"/>
  <c r="B40" i="4"/>
  <c r="B41" i="4"/>
  <c r="B39" i="4"/>
  <c r="C30" i="4"/>
  <c r="D30" i="4" s="1"/>
  <c r="C29" i="4"/>
  <c r="D29" i="4" s="1"/>
  <c r="E29" i="4" s="1"/>
  <c r="D28" i="4"/>
  <c r="E28" i="4" s="1"/>
  <c r="C28" i="4"/>
  <c r="C26" i="4"/>
  <c r="D26" i="4" s="1"/>
  <c r="E25" i="4"/>
  <c r="D25" i="4"/>
  <c r="C25" i="4"/>
  <c r="E20" i="4"/>
  <c r="E27" i="4" s="1"/>
  <c r="B32" i="4"/>
  <c r="C35" i="6" l="1"/>
  <c r="C31" i="6"/>
  <c r="C32" i="6"/>
  <c r="C33" i="6"/>
  <c r="C34" i="6"/>
  <c r="B36" i="5"/>
  <c r="B38" i="5"/>
  <c r="B39" i="5" s="1"/>
  <c r="C34" i="5"/>
  <c r="C40" i="5" s="1"/>
  <c r="B43" i="5" s="1"/>
  <c r="B49" i="5" s="1"/>
  <c r="D33" i="5"/>
  <c r="C35" i="5"/>
  <c r="E26" i="4"/>
  <c r="E30" i="4"/>
  <c r="C27" i="4"/>
  <c r="C31" i="4" s="1"/>
  <c r="D27" i="4"/>
  <c r="D31" i="4" s="1"/>
  <c r="B31" i="4"/>
  <c r="D33" i="6" l="1"/>
  <c r="E32" i="6"/>
  <c r="G32" i="6"/>
  <c r="E31" i="6"/>
  <c r="G31" i="6"/>
  <c r="D31" i="6"/>
  <c r="D32" i="6"/>
  <c r="G34" i="6"/>
  <c r="D35" i="6"/>
  <c r="E34" i="6"/>
  <c r="G33" i="6"/>
  <c r="D34" i="6"/>
  <c r="E33" i="6"/>
  <c r="E35" i="6"/>
  <c r="G35" i="6"/>
  <c r="C37" i="5"/>
  <c r="C36" i="5"/>
  <c r="C49" i="5" s="1"/>
  <c r="C38" i="5"/>
  <c r="C39" i="5" s="1"/>
  <c r="D34" i="5"/>
  <c r="E33" i="5"/>
  <c r="D35" i="5"/>
  <c r="C32" i="4"/>
  <c r="C33" i="4" s="1"/>
  <c r="D32" i="4"/>
  <c r="E32" i="4"/>
  <c r="E31" i="4"/>
  <c r="D33" i="4"/>
  <c r="E33" i="4"/>
  <c r="B33" i="4"/>
  <c r="C36" i="4" s="1"/>
  <c r="B34" i="4"/>
  <c r="C37" i="4" s="1"/>
  <c r="D37" i="5" l="1"/>
  <c r="D48" i="5" s="1"/>
  <c r="E48" i="5" s="1"/>
  <c r="B44" i="5"/>
  <c r="B45" i="5" s="1"/>
  <c r="B50" i="5" s="1"/>
  <c r="E50" i="5" s="1"/>
  <c r="F35" i="6"/>
  <c r="H35" i="6"/>
  <c r="H32" i="6"/>
  <c r="F32" i="6"/>
  <c r="F34" i="6"/>
  <c r="H34" i="6"/>
  <c r="F31" i="6"/>
  <c r="H31" i="6"/>
  <c r="F33" i="6"/>
  <c r="H33" i="6"/>
  <c r="D36" i="5"/>
  <c r="E35" i="5"/>
  <c r="E34" i="5"/>
  <c r="D41" i="4"/>
  <c r="E41" i="4" s="1"/>
  <c r="D40" i="4"/>
  <c r="E40" i="4" s="1"/>
  <c r="D39" i="4"/>
  <c r="E39" i="4" s="1"/>
  <c r="B29" i="3"/>
  <c r="C28" i="2"/>
  <c r="C29" i="2"/>
  <c r="B32" i="2"/>
  <c r="B33" i="2" s="1"/>
  <c r="B37" i="2" s="1"/>
  <c r="B31" i="2"/>
  <c r="C31" i="2" s="1"/>
  <c r="B30" i="2"/>
  <c r="C30" i="2" s="1"/>
  <c r="B29" i="2"/>
  <c r="B28" i="2"/>
  <c r="B27" i="2"/>
  <c r="C27" i="2" s="1"/>
  <c r="E52" i="5" l="1"/>
  <c r="B31" i="3"/>
  <c r="B30" i="3"/>
  <c r="C30" i="3"/>
  <c r="C32" i="2"/>
  <c r="B34" i="2"/>
  <c r="B36" i="2" s="1"/>
  <c r="B38" i="6"/>
  <c r="B37" i="6"/>
  <c r="E36" i="5"/>
  <c r="D49" i="5" s="1"/>
  <c r="E49" i="5" s="1"/>
  <c r="E51" i="5" s="1"/>
  <c r="E37" i="5"/>
  <c r="B39" i="2"/>
  <c r="B35" i="2"/>
  <c r="C34" i="2" l="1"/>
  <c r="C33" i="2"/>
  <c r="B19" i="1"/>
  <c r="C37" i="2" l="1"/>
  <c r="B40" i="2" s="1"/>
  <c r="B41" i="2" s="1"/>
  <c r="C35" i="2"/>
  <c r="C36" i="2"/>
  <c r="B22" i="1"/>
  <c r="B23" i="1" s="1"/>
  <c r="B24" i="1" l="1"/>
  <c r="B25" i="1" s="1"/>
</calcChain>
</file>

<file path=xl/sharedStrings.xml><?xml version="1.0" encoding="utf-8"?>
<sst xmlns="http://schemas.openxmlformats.org/spreadsheetml/2006/main" count="244" uniqueCount="190">
  <si>
    <t>S</t>
  </si>
  <si>
    <t>K</t>
  </si>
  <si>
    <t>T</t>
  </si>
  <si>
    <t>r</t>
  </si>
  <si>
    <t>q</t>
  </si>
  <si>
    <t>sigma</t>
  </si>
  <si>
    <t>d1</t>
  </si>
  <si>
    <t>d2</t>
  </si>
  <si>
    <t>Call Delta</t>
  </si>
  <si>
    <t>Put Delta</t>
  </si>
  <si>
    <t>Total</t>
  </si>
  <si>
    <t>Check:</t>
  </si>
  <si>
    <t>&lt;--- Strike for DN straddle. Any value between 103.81 and 103.83 is fine</t>
  </si>
  <si>
    <t>K1</t>
  </si>
  <si>
    <t>T1</t>
  </si>
  <si>
    <t>B-S Call</t>
  </si>
  <si>
    <t>B-S Vega</t>
  </si>
  <si>
    <t>B-S Put</t>
  </si>
  <si>
    <t>Put K1</t>
  </si>
  <si>
    <t>Call K2</t>
  </si>
  <si>
    <t>Put T1</t>
  </si>
  <si>
    <t>Call T2</t>
  </si>
  <si>
    <t>Put position</t>
  </si>
  <si>
    <t>&lt;--- The bank _sold_ the put</t>
  </si>
  <si>
    <t>Put Vega</t>
  </si>
  <si>
    <t>&lt;--- USD/percent, Negative means the bank loses money in case sigma goes up</t>
  </si>
  <si>
    <t>Calls Hedge</t>
  </si>
  <si>
    <t>&lt;--- Positive means need to buy this # of calls</t>
  </si>
  <si>
    <t>Calls Vega</t>
  </si>
  <si>
    <t>𝑉𝑖 = (𝑆𝑖 − 𝐾)𝑒−𝑟𝑇</t>
  </si>
  <si>
    <t>𝑆𝑖 = 𝑆0 exp [(𝑟 − 𝜎2/2) 𝑇 + 𝜉𝑖𝜎√𝑇 ] , 𝜉𝑖 ∼ N(0, 1)</t>
  </si>
  <si>
    <t>mu_hat</t>
  </si>
  <si>
    <t>sigma_hat</t>
  </si>
  <si>
    <t>N sims</t>
  </si>
  <si>
    <t>v (accuracy)</t>
  </si>
  <si>
    <t>Conf. level</t>
  </si>
  <si>
    <t>Crit. Value</t>
  </si>
  <si>
    <t>Conf. Int.</t>
  </si>
  <si>
    <t>&lt;--- Left and right border. Theoretical value 0 is inside, so nothing is wrong with fair forward rate formula.</t>
  </si>
  <si>
    <t>Required</t>
  </si>
  <si>
    <t>S1</t>
  </si>
  <si>
    <t>S2</t>
  </si>
  <si>
    <t>S3</t>
  </si>
  <si>
    <t>R</t>
  </si>
  <si>
    <t>T2</t>
  </si>
  <si>
    <t>Today</t>
  </si>
  <si>
    <t>Scenario 1</t>
  </si>
  <si>
    <t>Scenario 2</t>
  </si>
  <si>
    <t>Scenario 3</t>
  </si>
  <si>
    <t>Put Quantity</t>
  </si>
  <si>
    <t>Stocks to hedge</t>
  </si>
  <si>
    <t>Current position PV</t>
  </si>
  <si>
    <t>Stock</t>
  </si>
  <si>
    <t>Put PnL</t>
  </si>
  <si>
    <t>Hedge PnL</t>
  </si>
  <si>
    <t>Full PnL</t>
  </si>
  <si>
    <t>&lt;-- We own an option, so we make money in case of extreme moves</t>
  </si>
  <si>
    <t>&lt;-- We own an option, so we lose as time passes and the stock does not move</t>
  </si>
  <si>
    <t>&lt;--- Positive means we own 1 put option</t>
  </si>
  <si>
    <t>&lt;--- Positive means we need to buy 0.356 units of the stock</t>
  </si>
  <si>
    <t>Current</t>
  </si>
  <si>
    <t>After spot move</t>
  </si>
  <si>
    <t>K2</t>
  </si>
  <si>
    <t>Gamma</t>
  </si>
  <si>
    <t>Put Qty</t>
  </si>
  <si>
    <t>Call Qty</t>
  </si>
  <si>
    <t>&lt;--- Negative means we need to sell 0.95 calls</t>
  </si>
  <si>
    <t>Delta C+P</t>
  </si>
  <si>
    <t>&lt;--- This our delta if we have one put and sell 0.95 calls</t>
  </si>
  <si>
    <t>Delta Hedge</t>
  </si>
  <si>
    <t>&lt;--- Positive means that we need to buy 0.892 units of stock to be delta-neutral</t>
  </si>
  <si>
    <t>Call</t>
  </si>
  <si>
    <t>Put</t>
  </si>
  <si>
    <t>Quantity</t>
  </si>
  <si>
    <t>New price</t>
  </si>
  <si>
    <t>Cur. Price</t>
  </si>
  <si>
    <t>PnL</t>
  </si>
  <si>
    <t>&lt;--- This is our full PnL if we hedge gamma, less magnitude than in previous problem</t>
  </si>
  <si>
    <t>Hedge cost</t>
  </si>
  <si>
    <t>g</t>
  </si>
  <si>
    <t>c</t>
  </si>
  <si>
    <t>Fixed coupon</t>
  </si>
  <si>
    <t>P(default)</t>
  </si>
  <si>
    <t>Hazard rate</t>
  </si>
  <si>
    <t>S(T)</t>
  </si>
  <si>
    <t>Interval PD</t>
  </si>
  <si>
    <t>Buyer E(PV)</t>
  </si>
  <si>
    <t>Seller E(PV)</t>
  </si>
  <si>
    <t>Fair coupon</t>
  </si>
  <si>
    <t>Coupon=100%</t>
  </si>
  <si>
    <t>Prepayment</t>
  </si>
  <si>
    <t>&lt;--- S(T) = 1 - PD(T) = exp(-lambda*T)</t>
  </si>
  <si>
    <t>Discount</t>
  </si>
  <si>
    <t>1 DN-straddle</t>
  </si>
  <si>
    <t>Consider the Black-Scholes model. A non-dividend-paying stock (𝑞 = 0%) is</t>
  </si>
  <si>
    <t>priced at 𝑆 = $100 in the market. The stock’s volatility is 𝜎 = 30%, risk-free</t>
  </si>
  <si>
    <t>interest rate is 𝑟 = 3% (continuous compounding).</t>
  </si>
  <si>
    <t>A Delta-neutral straddle (DN-straddle) is a combination of a bought call</t>
  </si>
  <si>
    <t>and a bought put at the same strike, and the delta of this combination is zero</t>
  </si>
  <si>
    <t>(hence the name delta-neutral). DN is one of the elements of the volatility</t>
  </si>
  <si>
    <t>smile, along with risk reversals and butterflies.</t>
  </si>
  <si>
    <t>a straddle (a bought call and a bought put) will have a delta of zero? Derive</t>
  </si>
  <si>
    <t>the formula or find this strike numerically with an accuracy of $0.01.</t>
  </si>
  <si>
    <t>Let’s look at options with a maturity of 𝑇 = 0.5 years. At what strike 𝐾_𝐷𝑁</t>
  </si>
  <si>
    <t>K_DN</t>
  </si>
  <si>
    <t>2 Vega Hedging</t>
  </si>
  <si>
    <t>An investment bank sold to a client a European put option on a stock index</t>
  </si>
  <si>
    <t>at a strike of 𝐾1 = $3 500 with a maturity of 𝑇1 = 1 year. Current index price</t>
  </si>
  <si>
    <t>is 𝑆 = $4 000, and its volatility is 𝜎 = 20%. Calculate Vega of this option in</t>
  </si>
  <si>
    <t>dollars per percentage point change in volatility, assuming a risk-free rate of</t>
  </si>
  <si>
    <t>𝑟 = 4% and a dividend yield of 𝑞 = 0%. Provide the answer with the sign,</t>
  </si>
  <si>
    <t>considering that the bank sold the option. For example, if Vega is positive, it</t>
  </si>
  <si>
    <t>means that the bank benefits from an increase in volatility.</t>
  </si>
  <si>
    <t>If volatility increases, the bank will incur a loss in the present value (PV)</t>
  </si>
  <si>
    <t>of the sold option, so it wants to hedge. Another client is interested in a quote</t>
  </si>
  <si>
    <t>for a European call at a strike of 𝐾2 = $4 100 with a maturity of 𝑇2 = 0.5 years.</t>
  </si>
  <si>
    <t>How many units of this call should be bought or sold to make total Vega of</t>
  </si>
  <si>
    <t>the portfolio of the put and the call equal to zero?</t>
  </si>
  <si>
    <t>Hint: standardVega formula gives the answer in "units" (howmuch present</t>
  </si>
  <si>
    <t>value will change if volatility increases by 1.0, i.e., by 100%).</t>
  </si>
  <si>
    <t>3 Artem and the Monte Carlo method</t>
  </si>
  <si>
    <t>Trader Artem decided to check whether the fair forward rate formula, which</t>
  </si>
  <si>
    <t>we derived in the very first lecture, is correct. Consider a non-dividend paying</t>
  </si>
  <si>
    <t>stock (𝑞 = 0%). Сurrent stock price is 𝑆0 = $100, volatility in the Black-Scholes</t>
  </si>
  <si>
    <t>model is 𝜎 = 30%, and the risk-free interest rate is 𝑟 = 2%. Artem is interested</t>
  </si>
  <si>
    <t>in a forward contract with a delivery date in 𝑇 = 1 year.</t>
  </si>
  <si>
    <t>According to the model, fair forward rate is 𝐾 = 𝑆0𝑒𝑟𝑇 ≈ $102.02. Present</t>
  </si>
  <si>
    <t>value of the forward at a rate of 𝐾 should be zero. To check this, Artem</t>
  </si>
  <si>
    <t>generated 𝑁 = 1 000 000 random realizations of the future stock price in one</t>
  </si>
  <si>
    <t>year, 𝑆𝑖, and calculated 𝑉𝑖 — the discounted payoff of the forward in each</t>
  </si>
  <si>
    <t>scenario.</t>
  </si>
  <si>
    <t>If the model is correct, then the average of all 𝑉𝑖 should be zero. However,</t>
  </si>
  <si>
    <t>Artem was surprised to find that the sample mean was 𝜇̂ = −$0.02, and the</t>
  </si>
  <si>
    <t>sample standard deviation was 𝜎̂ = $30.7. It seems like the fair forward rate</t>
  </si>
  <si>
    <t>formula is not confirmed by the experiment, as the average payoff is not zero.</t>
  </si>
  <si>
    <t>Help Artem restore faith in the forward rate formula: calculate a 𝑐 = 99%</t>
  </si>
  <si>
    <t>confidence interval for the forward payoff. How many simulations in the</t>
  </si>
  <si>
    <t>Monte Carlo method need to be performed to ensure that the width of the</t>
  </si>
  <si>
    <t>confidence interval does not exceed 𝑣 = $0.01?</t>
  </si>
  <si>
    <t>4 Gamma and Theta</t>
  </si>
  <si>
    <t>Consider the Black-Scholes model. A non-dividend paying stock is currently</t>
  </si>
  <si>
    <t>priced at 𝑆 = $500. The stock’s volatility is 𝜎 = 30%, risk-free interest rate is</t>
  </si>
  <si>
    <t>𝑟 = 3% (continuous compounding).</t>
  </si>
  <si>
    <t>Suppose we own a European put option at a strike of 𝐾 = $480 with a</t>
  </si>
  <si>
    <t>maturity of 𝑇 = 0.5 years. What is present value of such an option in the</t>
  </si>
  <si>
    <t>Black-Scholes model? How many units of the stock do we need to buy or</t>
  </si>
  <si>
    <t>to sell to make Delta of our position (bought put and some underlying asset)</t>
  </si>
  <si>
    <t>equal to zero?</t>
  </si>
  <si>
    <t>Let’s assume that we have performed a Delta hedge, and the following</t>
  </si>
  <si>
    <t>business day has come. There are 𝑇2 = 𝑇 − 1/360 days left until the option</t>
  </si>
  <si>
    <t>expires. Calculate the profit (change in PV) of our position (the option and</t>
  </si>
  <si>
    <t>the hedge) in three scenarios: if new price of the underlying asset is 𝑆1 =</t>
  </si>
  <si>
    <t>$480 (significantly decreased), 𝑆2 = $500 (remained the same), 𝑆3 = $520</t>
  </si>
  <si>
    <t>(significantly increased).</t>
  </si>
  <si>
    <t>5 Delta-Gamma Hedging</t>
  </si>
  <si>
    <t>Consider an option with the same parameters as in the previous problem. A</t>
  </si>
  <si>
    <t>non-dividend paying stock is currently priced at 𝑆 = $500. The stock’s volatility</t>
  </si>
  <si>
    <t>is 𝜎 = 30%, risk-free interest rate is 𝑟 = 3% (continuous compounding). We</t>
  </si>
  <si>
    <t>own a European put option at a strike of 𝐾1 = $480 with maturity of 𝑇 = 0.5</t>
  </si>
  <si>
    <t>years.</t>
  </si>
  <si>
    <t>Instead of Delta-hedging, we are now hedging our Gamma. To do this, we</t>
  </si>
  <si>
    <t>found another option on the market — a European call option at a strike of</t>
  </si>
  <si>
    <t>𝐾2 = $500 and maturity of 𝑇 = 0.5 years. The volatility is the same, 𝜎 = 30%.</t>
  </si>
  <si>
    <t>How many units of the call do we need to buy or sell to make total Gamma of</t>
  </si>
  <si>
    <t>the portfolio (initial put plus hedging call) equal to zero?</t>
  </si>
  <si>
    <t>Most likely, Delta of the portfolio of the call and the put will not be zero.</t>
  </si>
  <si>
    <t>How many units of the underlying asset do we need to buy or to sell so that</t>
  </si>
  <si>
    <t>Delta of the portfolio (put, call, underlying asset) is equal to zero?</t>
  </si>
  <si>
    <t>How will the PV of the portfolio change (what will our profit be) if the</t>
  </si>
  <si>
    <t>stock makes a jump to 𝑆1 = $480, and the time to expiration remains the same</t>
  </si>
  <si>
    <t>at 𝑇 = 0.5?</t>
  </si>
  <si>
    <t>6 Credit Default Swap</t>
  </si>
  <si>
    <t>A risk-free zero-coupon bond 0f 𝑇 = 5 years maturity has a yield of 𝑔 = 1%</t>
  </si>
  <si>
    <t>(annual interest compounding). A corporate zero-coupon bond of the same</t>
  </si>
  <si>
    <t>maturity has a yield of 𝑐 = 4%. In the event of default, recovery rate will be</t>
  </si>
  <si>
    <t>𝑅 = 40%, and the payment of the residual value of the bond will occur on the</t>
  </si>
  <si>
    <t>same date as originally scheduled for maturity (i.e., after 𝑇 years from today).</t>
  </si>
  <si>
    <t>What is probability of default during lifetime of the bond? What is default</t>
  </si>
  <si>
    <t>intensity (hazard rate) 𝜆?</t>
  </si>
  <si>
    <t>Consider a five-year credit default swap in which the insurance buyer</t>
  </si>
  <si>
    <t>pays annual coupons (i.e., there will be a total of 5 coupon payments). In</t>
  </si>
  <si>
    <t>the event of default, the insurance payout will occur on the following coupon</t>
  </si>
  <si>
    <t>date (default after 1.5 years — payout after 2 years from today). There are no</t>
  </si>
  <si>
    <t>accrued coupon payments.</t>
  </si>
  <si>
    <t>What is fair annual coupon in this swap? Suppose the regulator requires</t>
  </si>
  <si>
    <t>that the coupon should be 1% per annum in all credit default swaps. What</t>
  </si>
  <si>
    <t>percentage of the notional amount should the buyer pay the seller today for a</t>
  </si>
  <si>
    <t>swap with 1% coupons to be fair? Please, DO NOT neglect the discounting of</t>
  </si>
  <si>
    <t>future cashflows at the risk-free rate 𝑔!</t>
  </si>
  <si>
    <t>&lt;--- The buyer must pay 9.05% of the notional upfront to make the swap fair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</si>
</sst>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%"/>
    <numFmt numFmtId="165" formatCode="0.0000"/>
    <numFmt numFmtId="166" formatCode="#,##0.0"/>
    <numFmt numFmtId="167" formatCode="0.0000%"/>
    <numFmt numFmtId="168" formatCode="#,##0.000"/>
    <numFmt numFmtId="169" formatCode="0.0"/>
    <numFmt numFmtId="170" formatCode="[$$-409]#,##0.00_ ;\-[$$-409]#,##0.00\ "/>
    <numFmt numFmtId="171" formatCode="[$$-409]#,##0.000_ ;\-[$$-409]#,##0.000\ "/>
    <numFmt numFmtId="172" formatCode="#,##0.0000"/>
    <numFmt numFmtId="173" formatCode="0.00000"/>
    <numFmt numFmtId="174" formatCode="0.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10" fontId="0" fillId="0" borderId="0" xfId="0" applyNumberFormat="1"/>
    <xf numFmtId="9" fontId="0" fillId="0" borderId="0" xfId="0" applyNumberFormat="1"/>
    <xf numFmtId="3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4" fontId="0" fillId="0" borderId="0" xfId="0" applyNumberFormat="1"/>
    <xf numFmtId="167" fontId="0" fillId="0" borderId="0" xfId="0" applyNumberFormat="1"/>
    <xf numFmtId="4" fontId="0" fillId="2" borderId="0" xfId="0" applyNumberFormat="1" applyFill="1"/>
    <xf numFmtId="3" fontId="0" fillId="2" borderId="0" xfId="0" applyNumberFormat="1" applyFill="1"/>
    <xf numFmtId="2" fontId="0" fillId="2" borderId="0" xfId="0" applyNumberFormat="1" applyFill="1"/>
    <xf numFmtId="164" fontId="0" fillId="2" borderId="0" xfId="0" applyNumberFormat="1" applyFill="1"/>
    <xf numFmtId="9" fontId="0" fillId="2" borderId="0" xfId="0" applyNumberFormat="1" applyFill="1"/>
    <xf numFmtId="4" fontId="0" fillId="3" borderId="0" xfId="0" applyNumberFormat="1" applyFill="1"/>
    <xf numFmtId="168" fontId="0" fillId="3" borderId="0" xfId="0" applyNumberFormat="1" applyFill="1"/>
    <xf numFmtId="169" fontId="0" fillId="2" borderId="0" xfId="0" applyNumberFormat="1" applyFill="1"/>
    <xf numFmtId="170" fontId="0" fillId="2" borderId="0" xfId="0" applyNumberFormat="1" applyFill="1"/>
    <xf numFmtId="171" fontId="0" fillId="3" borderId="0" xfId="0" applyNumberFormat="1" applyFill="1"/>
    <xf numFmtId="170" fontId="0" fillId="0" borderId="0" xfId="0" applyNumberFormat="1"/>
    <xf numFmtId="166" fontId="0" fillId="2" borderId="0" xfId="0" applyNumberFormat="1" applyFill="1"/>
    <xf numFmtId="168" fontId="0" fillId="0" borderId="0" xfId="0" applyNumberFormat="1"/>
    <xf numFmtId="3" fontId="0" fillId="3" borderId="0" xfId="0" applyNumberFormat="1" applyFill="1"/>
    <xf numFmtId="172" fontId="0" fillId="0" borderId="0" xfId="0" applyNumberFormat="1"/>
    <xf numFmtId="0" fontId="0" fillId="2" borderId="0" xfId="0" applyFill="1"/>
    <xf numFmtId="172" fontId="0" fillId="2" borderId="0" xfId="0" applyNumberFormat="1" applyFill="1"/>
    <xf numFmtId="4" fontId="0" fillId="4" borderId="0" xfId="0" applyNumberFormat="1" applyFill="1"/>
    <xf numFmtId="173" fontId="0" fillId="0" borderId="0" xfId="0" applyNumberFormat="1"/>
    <xf numFmtId="164" fontId="0" fillId="4" borderId="0" xfId="0" applyNumberFormat="1" applyFill="1"/>
    <xf numFmtId="173" fontId="0" fillId="4" borderId="0" xfId="0" applyNumberFormat="1" applyFill="1"/>
    <xf numFmtId="164" fontId="0" fillId="3" borderId="0" xfId="0" applyNumberFormat="1" applyFill="1"/>
    <xf numFmtId="174" fontId="0" fillId="0" borderId="0" xfId="0" applyNumberFormat="1"/>
    <xf numFmtId="10" fontId="0" fillId="3" borderId="0" xfId="0" applyNumberForma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FF2E5-E866-426F-9D6F-7205FDE8311C}">
  <dimension ref="A1:K25"/>
  <sheetViews>
    <sheetView tabSelected="1" workbookViewId="0">
      <selection activeCell="B16" sqref="B16"/>
    </sheetView>
  </sheetViews>
  <sheetFormatPr defaultRowHeight="14.5" x14ac:dyDescent="0.35"/>
  <sheetData>
    <row r="1" spans="1:2" x14ac:dyDescent="0.35">
      <c r="A1" t="s">
        <v>93</v>
      </c>
    </row>
    <row r="2" spans="1:2" x14ac:dyDescent="0.35">
      <c r="A2" t="s">
        <v>94</v>
      </c>
    </row>
    <row r="3" spans="1:2" x14ac:dyDescent="0.35">
      <c r="A3" t="s">
        <v>95</v>
      </c>
    </row>
    <row r="4" spans="1:2" x14ac:dyDescent="0.35">
      <c r="A4" t="s">
        <v>96</v>
      </c>
    </row>
    <row r="5" spans="1:2" x14ac:dyDescent="0.35">
      <c r="A5" t="s">
        <v>97</v>
      </c>
    </row>
    <row r="6" spans="1:2" x14ac:dyDescent="0.35">
      <c r="A6" t="s">
        <v>98</v>
      </c>
    </row>
    <row r="7" spans="1:2" x14ac:dyDescent="0.35">
      <c r="A7" t="s">
        <v>99</v>
      </c>
    </row>
    <row r="8" spans="1:2" x14ac:dyDescent="0.35">
      <c r="A8" t="s">
        <v>100</v>
      </c>
    </row>
    <row r="9" spans="1:2" x14ac:dyDescent="0.35">
      <c r="A9" t="s">
        <v>103</v>
      </c>
    </row>
    <row r="10" spans="1:2" x14ac:dyDescent="0.35">
      <c r="A10" t="s">
        <v>101</v>
      </c>
    </row>
    <row r="11" spans="1:2" x14ac:dyDescent="0.35">
      <c r="A11" t="s">
        <v>102</v>
      </c>
    </row>
    <row r="13" spans="1:2" x14ac:dyDescent="0.35">
      <c r="A13" t="s">
        <v>0</v>
      </c>
      <c r="B13" s="17">
        <v>100</v>
      </c>
    </row>
    <row r="14" spans="1:2" x14ac:dyDescent="0.35">
      <c r="A14" t="s">
        <v>2</v>
      </c>
      <c r="B14" s="16">
        <v>0.5</v>
      </c>
    </row>
    <row r="15" spans="1:2" x14ac:dyDescent="0.35">
      <c r="A15" t="s">
        <v>3</v>
      </c>
      <c r="B15" s="12">
        <v>0.03</v>
      </c>
    </row>
    <row r="16" spans="1:2" x14ac:dyDescent="0.35">
      <c r="A16" t="s">
        <v>4</v>
      </c>
      <c r="B16" s="12">
        <v>0</v>
      </c>
    </row>
    <row r="17" spans="1:11" x14ac:dyDescent="0.35">
      <c r="A17" t="s">
        <v>5</v>
      </c>
      <c r="B17" s="13">
        <v>0.3</v>
      </c>
    </row>
    <row r="19" spans="1:11" x14ac:dyDescent="0.35">
      <c r="A19" t="s">
        <v>104</v>
      </c>
      <c r="B19" s="18">
        <f>B13 * EXP((B15-B16+B17^2/2)*B14)</f>
        <v>103.8211997081825</v>
      </c>
      <c r="C19" t="s">
        <v>12</v>
      </c>
      <c r="K19" s="19"/>
    </row>
    <row r="21" spans="1:11" x14ac:dyDescent="0.35">
      <c r="A21" t="s">
        <v>11</v>
      </c>
    </row>
    <row r="22" spans="1:11" x14ac:dyDescent="0.35">
      <c r="A22" t="s">
        <v>6</v>
      </c>
      <c r="B22" s="6">
        <f xml:space="preserve"> 1 / (B17 * SQRT(B14)) * (LN(B13/B19) + (B15 - B16 + B17^2/2)*B14)</f>
        <v>2.2897181689138387E-16</v>
      </c>
    </row>
    <row r="23" spans="1:11" x14ac:dyDescent="0.35">
      <c r="A23" t="s">
        <v>8</v>
      </c>
      <c r="B23" s="1">
        <f>EXP(-B16*B14)*_xlfn.NORM.DIST(B22, 0, 1, TRUE)</f>
        <v>0.50000000000000011</v>
      </c>
    </row>
    <row r="24" spans="1:11" x14ac:dyDescent="0.35">
      <c r="A24" t="s">
        <v>9</v>
      </c>
      <c r="B24" s="1">
        <f>B23-EXP(-B16*B14)</f>
        <v>-0.49999999999999989</v>
      </c>
    </row>
    <row r="25" spans="1:11" x14ac:dyDescent="0.35">
      <c r="A25" t="s">
        <v>10</v>
      </c>
      <c r="B25" s="8">
        <f>SUM(B23:B24)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FE1DE-8A3F-4A81-98C9-E63FA735F08C}">
  <dimension ref="A1:C41"/>
  <sheetViews>
    <sheetView workbookViewId="0">
      <selection activeCell="C40" sqref="C40"/>
    </sheetView>
  </sheetViews>
  <sheetFormatPr defaultRowHeight="14.5" x14ac:dyDescent="0.35"/>
  <sheetData>
    <row r="1" spans="1:1" x14ac:dyDescent="0.35">
      <c r="A1" t="s">
        <v>105</v>
      </c>
    </row>
    <row r="2" spans="1:1" x14ac:dyDescent="0.35">
      <c r="A2" t="s">
        <v>106</v>
      </c>
    </row>
    <row r="3" spans="1:1" x14ac:dyDescent="0.35">
      <c r="A3" t="s">
        <v>107</v>
      </c>
    </row>
    <row r="4" spans="1:1" x14ac:dyDescent="0.35">
      <c r="A4" t="s">
        <v>108</v>
      </c>
    </row>
    <row r="5" spans="1:1" x14ac:dyDescent="0.35">
      <c r="A5" t="s">
        <v>109</v>
      </c>
    </row>
    <row r="6" spans="1:1" x14ac:dyDescent="0.35">
      <c r="A6" t="s">
        <v>110</v>
      </c>
    </row>
    <row r="7" spans="1:1" x14ac:dyDescent="0.35">
      <c r="A7" t="s">
        <v>111</v>
      </c>
    </row>
    <row r="8" spans="1:1" x14ac:dyDescent="0.35">
      <c r="A8" t="s">
        <v>112</v>
      </c>
    </row>
    <row r="9" spans="1:1" x14ac:dyDescent="0.35">
      <c r="A9" t="s">
        <v>113</v>
      </c>
    </row>
    <row r="10" spans="1:1" x14ac:dyDescent="0.35">
      <c r="A10" t="s">
        <v>114</v>
      </c>
    </row>
    <row r="11" spans="1:1" x14ac:dyDescent="0.35">
      <c r="A11" t="s">
        <v>115</v>
      </c>
    </row>
    <row r="12" spans="1:1" x14ac:dyDescent="0.35">
      <c r="A12" t="s">
        <v>116</v>
      </c>
    </row>
    <row r="13" spans="1:1" x14ac:dyDescent="0.35">
      <c r="A13" t="s">
        <v>117</v>
      </c>
    </row>
    <row r="14" spans="1:1" x14ac:dyDescent="0.35">
      <c r="A14" t="s">
        <v>118</v>
      </c>
    </row>
    <row r="15" spans="1:1" x14ac:dyDescent="0.35">
      <c r="A15" t="s">
        <v>119</v>
      </c>
    </row>
    <row r="17" spans="1:3" x14ac:dyDescent="0.35">
      <c r="A17" t="s">
        <v>0</v>
      </c>
      <c r="B17" s="10">
        <v>4000</v>
      </c>
    </row>
    <row r="18" spans="1:3" x14ac:dyDescent="0.35">
      <c r="A18" t="s">
        <v>18</v>
      </c>
      <c r="B18" s="10">
        <v>3500</v>
      </c>
    </row>
    <row r="19" spans="1:3" x14ac:dyDescent="0.35">
      <c r="A19" t="s">
        <v>20</v>
      </c>
      <c r="B19" s="20">
        <v>1</v>
      </c>
    </row>
    <row r="20" spans="1:3" x14ac:dyDescent="0.35">
      <c r="A20" t="s">
        <v>19</v>
      </c>
      <c r="B20" s="10">
        <v>4100</v>
      </c>
    </row>
    <row r="21" spans="1:3" x14ac:dyDescent="0.35">
      <c r="A21" t="s">
        <v>21</v>
      </c>
      <c r="B21" s="20">
        <v>0.5</v>
      </c>
    </row>
    <row r="22" spans="1:3" x14ac:dyDescent="0.35">
      <c r="A22" t="s">
        <v>3</v>
      </c>
      <c r="B22" s="13">
        <v>0.04</v>
      </c>
    </row>
    <row r="23" spans="1:3" x14ac:dyDescent="0.35">
      <c r="A23" t="s">
        <v>4</v>
      </c>
      <c r="B23" s="13">
        <v>0</v>
      </c>
    </row>
    <row r="24" spans="1:3" x14ac:dyDescent="0.35">
      <c r="A24" t="s">
        <v>5</v>
      </c>
      <c r="B24" s="13">
        <v>0.2</v>
      </c>
    </row>
    <row r="25" spans="1:3" x14ac:dyDescent="0.35">
      <c r="A25" t="s">
        <v>22</v>
      </c>
      <c r="B25" s="9">
        <v>-1</v>
      </c>
      <c r="C25" t="s">
        <v>23</v>
      </c>
    </row>
    <row r="27" spans="1:3" x14ac:dyDescent="0.35">
      <c r="A27" t="s">
        <v>0</v>
      </c>
      <c r="B27" s="3">
        <f>B17</f>
        <v>4000</v>
      </c>
      <c r="C27" s="3">
        <f>B27</f>
        <v>4000</v>
      </c>
    </row>
    <row r="28" spans="1:3" x14ac:dyDescent="0.35">
      <c r="A28" t="s">
        <v>13</v>
      </c>
      <c r="B28" s="3">
        <f>B18</f>
        <v>3500</v>
      </c>
      <c r="C28" s="3">
        <f>B20</f>
        <v>4100</v>
      </c>
    </row>
    <row r="29" spans="1:3" x14ac:dyDescent="0.35">
      <c r="A29" t="s">
        <v>14</v>
      </c>
      <c r="B29" s="7">
        <f>B19</f>
        <v>1</v>
      </c>
      <c r="C29" s="7">
        <f>B21</f>
        <v>0.5</v>
      </c>
    </row>
    <row r="30" spans="1:3" x14ac:dyDescent="0.35">
      <c r="A30" t="s">
        <v>3</v>
      </c>
      <c r="B30" s="5">
        <f>B22</f>
        <v>0.04</v>
      </c>
      <c r="C30" s="5">
        <f>B30</f>
        <v>0.04</v>
      </c>
    </row>
    <row r="31" spans="1:3" x14ac:dyDescent="0.35">
      <c r="A31" t="s">
        <v>4</v>
      </c>
      <c r="B31" s="5">
        <f>B23</f>
        <v>0</v>
      </c>
      <c r="C31" s="5">
        <f>B31</f>
        <v>0</v>
      </c>
    </row>
    <row r="32" spans="1:3" x14ac:dyDescent="0.35">
      <c r="A32" t="s">
        <v>5</v>
      </c>
      <c r="B32" s="2">
        <f>B24</f>
        <v>0.2</v>
      </c>
      <c r="C32" s="2">
        <f>B32</f>
        <v>0.2</v>
      </c>
    </row>
    <row r="33" spans="1:3" x14ac:dyDescent="0.35">
      <c r="A33" t="s">
        <v>6</v>
      </c>
      <c r="B33" s="7">
        <f xml:space="preserve"> 1 / (B32 * SQRT(B29)) * (LN(B27/B28) + (B30 - B31 + B32^2/2)*B29)</f>
        <v>0.96765696312261285</v>
      </c>
      <c r="C33" s="7">
        <f xml:space="preserve"> 1 / (C32 * SQRT(C29)) * (LN(C27/C28) + (C30 - C31 + C32^2/2)*C29)</f>
        <v>3.7528896277324024E-2</v>
      </c>
    </row>
    <row r="34" spans="1:3" x14ac:dyDescent="0.35">
      <c r="A34" t="s">
        <v>7</v>
      </c>
      <c r="B34" s="7">
        <f xml:space="preserve"> 1 / (B32 * SQRT(B29)) * (LN(B27/B28) + (B30 - B31 - B32^2/2)*B29)</f>
        <v>0.76765696312261278</v>
      </c>
      <c r="C34" s="7">
        <f xml:space="preserve"> 1 / (C32 * SQRT(C29)) * (LN(C27/C28) + (C30 - C31 - C32^2/2)*C29)</f>
        <v>-0.10389245995998547</v>
      </c>
    </row>
    <row r="35" spans="1:3" x14ac:dyDescent="0.35">
      <c r="A35" t="s">
        <v>15</v>
      </c>
      <c r="B35" s="7">
        <f>B27 * EXP(-B31*B29) *_xlfn.NORM.DIST(B33, 0, 1, 1) - B28 * EXP(-B30*B29) *_xlfn.NORM.DIST(B34, 0, 1, 1)</f>
        <v>715.13801018346157</v>
      </c>
      <c r="C35" s="7">
        <f>C27 * EXP(-C31*C29) *_xlfn.NORM.DIST(C33, 0, 1, 1) - C28 * EXP(-C30*C29) *_xlfn.NORM.DIST(C34, 0, 1, 1)</f>
        <v>216.73514547627951</v>
      </c>
    </row>
    <row r="36" spans="1:3" x14ac:dyDescent="0.35">
      <c r="A36" t="s">
        <v>17</v>
      </c>
      <c r="B36" s="7">
        <f>B28 * EXP(-B30*B29) *_xlfn.NORM.DIST(-B34, 0, 1, 1) - B27 * EXP(-B31*B29) *_xlfn.NORM.DIST(-B33, 0, 1, 1)</f>
        <v>77.901047216593383</v>
      </c>
      <c r="C36" s="7">
        <f>C28 * EXP(-C30*C29) *_xlfn.NORM.DIST(-C34, 0, 1, 1) - C27 * EXP(-C31*C29) *_xlfn.NORM.DIST(-C33, 0, 1, 1)</f>
        <v>235.54970603397669</v>
      </c>
    </row>
    <row r="37" spans="1:3" x14ac:dyDescent="0.35">
      <c r="A37" t="s">
        <v>16</v>
      </c>
      <c r="B37" s="7">
        <f>EXP(-B31*B29) * B27 *_xlfn.NORM.DIST(B33, 0, 1, 0) * SQRT(B29)</f>
        <v>999.17616831119778</v>
      </c>
      <c r="C37" s="7">
        <f>EXP(-C31*C29) * C27 *_xlfn.NORM.DIST(C33, 0, 1, 0) * SQRT(C29)</f>
        <v>1127.584832020945</v>
      </c>
    </row>
    <row r="39" spans="1:3" x14ac:dyDescent="0.35">
      <c r="A39" t="s">
        <v>24</v>
      </c>
      <c r="B39" s="15">
        <f>B25*B37/100</f>
        <v>-9.991761683111978</v>
      </c>
      <c r="C39" t="s">
        <v>25</v>
      </c>
    </row>
    <row r="40" spans="1:3" x14ac:dyDescent="0.35">
      <c r="A40" t="s">
        <v>26</v>
      </c>
      <c r="B40" s="15">
        <f>-B25*B37/C37</f>
        <v>0.88612061810054399</v>
      </c>
      <c r="C40" t="s">
        <v>27</v>
      </c>
    </row>
    <row r="41" spans="1:3" x14ac:dyDescent="0.35">
      <c r="A41" t="s">
        <v>28</v>
      </c>
      <c r="B41" s="7">
        <f>B40*C37/100</f>
        <v>9.991761683111978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8BFB6-F402-4F4D-A88A-69C520B125B9}">
  <dimension ref="A1:D31"/>
  <sheetViews>
    <sheetView workbookViewId="0">
      <selection activeCell="C30" sqref="C30"/>
    </sheetView>
  </sheetViews>
  <sheetFormatPr defaultRowHeight="14.5" x14ac:dyDescent="0.35"/>
  <cols>
    <col min="2" max="2" width="12.26953125" bestFit="1" customWidth="1"/>
  </cols>
  <sheetData>
    <row r="1" spans="1:1" x14ac:dyDescent="0.35">
      <c r="A1" t="s">
        <v>120</v>
      </c>
    </row>
    <row r="2" spans="1:1" x14ac:dyDescent="0.35">
      <c r="A2" t="s">
        <v>121</v>
      </c>
    </row>
    <row r="3" spans="1:1" x14ac:dyDescent="0.35">
      <c r="A3" t="s">
        <v>122</v>
      </c>
    </row>
    <row r="4" spans="1:1" x14ac:dyDescent="0.35">
      <c r="A4" t="s">
        <v>123</v>
      </c>
    </row>
    <row r="5" spans="1:1" x14ac:dyDescent="0.35">
      <c r="A5" t="s">
        <v>124</v>
      </c>
    </row>
    <row r="6" spans="1:1" x14ac:dyDescent="0.35">
      <c r="A6" t="s">
        <v>125</v>
      </c>
    </row>
    <row r="7" spans="1:1" x14ac:dyDescent="0.35">
      <c r="A7" t="s">
        <v>126</v>
      </c>
    </row>
    <row r="8" spans="1:1" x14ac:dyDescent="0.35">
      <c r="A8" t="s">
        <v>127</v>
      </c>
    </row>
    <row r="9" spans="1:1" x14ac:dyDescent="0.35">
      <c r="A9" t="s">
        <v>128</v>
      </c>
    </row>
    <row r="10" spans="1:1" x14ac:dyDescent="0.35">
      <c r="A10" t="s">
        <v>129</v>
      </c>
    </row>
    <row r="11" spans="1:1" x14ac:dyDescent="0.35">
      <c r="A11" t="s">
        <v>130</v>
      </c>
    </row>
    <row r="12" spans="1:1" x14ac:dyDescent="0.35">
      <c r="A12" t="s">
        <v>30</v>
      </c>
    </row>
    <row r="13" spans="1:1" x14ac:dyDescent="0.35">
      <c r="A13" t="s">
        <v>29</v>
      </c>
    </row>
    <row r="14" spans="1:1" x14ac:dyDescent="0.35">
      <c r="A14" t="s">
        <v>131</v>
      </c>
    </row>
    <row r="15" spans="1:1" x14ac:dyDescent="0.35">
      <c r="A15" t="s">
        <v>132</v>
      </c>
    </row>
    <row r="16" spans="1:1" x14ac:dyDescent="0.35">
      <c r="A16" t="s">
        <v>133</v>
      </c>
    </row>
    <row r="17" spans="1:4" x14ac:dyDescent="0.35">
      <c r="A17" t="s">
        <v>134</v>
      </c>
    </row>
    <row r="18" spans="1:4" x14ac:dyDescent="0.35">
      <c r="A18" t="s">
        <v>135</v>
      </c>
    </row>
    <row r="19" spans="1:4" x14ac:dyDescent="0.35">
      <c r="A19" t="s">
        <v>136</v>
      </c>
    </row>
    <row r="20" spans="1:4" x14ac:dyDescent="0.35">
      <c r="A20" t="s">
        <v>137</v>
      </c>
    </row>
    <row r="21" spans="1:4" x14ac:dyDescent="0.35">
      <c r="A21" t="s">
        <v>138</v>
      </c>
    </row>
    <row r="23" spans="1:4" x14ac:dyDescent="0.35">
      <c r="A23" t="s">
        <v>31</v>
      </c>
      <c r="B23" s="7">
        <v>-0.02</v>
      </c>
    </row>
    <row r="24" spans="1:4" x14ac:dyDescent="0.35">
      <c r="A24" t="s">
        <v>32</v>
      </c>
      <c r="B24">
        <v>30.7</v>
      </c>
    </row>
    <row r="25" spans="1:4" x14ac:dyDescent="0.35">
      <c r="A25" t="s">
        <v>33</v>
      </c>
      <c r="B25" s="3">
        <v>1000000</v>
      </c>
    </row>
    <row r="26" spans="1:4" x14ac:dyDescent="0.35">
      <c r="A26" t="s">
        <v>34</v>
      </c>
      <c r="B26">
        <v>0.01</v>
      </c>
    </row>
    <row r="27" spans="1:4" x14ac:dyDescent="0.35">
      <c r="A27" t="s">
        <v>35</v>
      </c>
      <c r="B27" s="2">
        <v>0.99</v>
      </c>
    </row>
    <row r="29" spans="1:4" x14ac:dyDescent="0.35">
      <c r="A29" t="s">
        <v>36</v>
      </c>
      <c r="B29" s="21">
        <f>-_xlfn.NORM.INV((1-B27)/2, 0, 1)</f>
        <v>2.5758293035488999</v>
      </c>
    </row>
    <row r="30" spans="1:4" x14ac:dyDescent="0.35">
      <c r="A30" t="s">
        <v>37</v>
      </c>
      <c r="B30" s="15">
        <f>B23 - B24/SQRT(B25)*B29</f>
        <v>-9.9077959618951231E-2</v>
      </c>
      <c r="C30" s="15">
        <f>B23 + B24/SQRT(B25)*B29</f>
        <v>5.9077959618951223E-2</v>
      </c>
      <c r="D30" t="s">
        <v>38</v>
      </c>
    </row>
    <row r="31" spans="1:4" x14ac:dyDescent="0.35">
      <c r="A31" t="s">
        <v>39</v>
      </c>
      <c r="B31" s="22">
        <f>(2*B24*B29/B26)^2</f>
        <v>250132947.89985922</v>
      </c>
      <c r="C31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7DE56-EBE9-4640-956A-907921FD58FD}">
  <dimension ref="A1:F41"/>
  <sheetViews>
    <sheetView workbookViewId="0">
      <selection activeCell="D39" sqref="D39"/>
    </sheetView>
  </sheetViews>
  <sheetFormatPr defaultRowHeight="14.5" x14ac:dyDescent="0.35"/>
  <cols>
    <col min="2" max="2" width="8.7265625" customWidth="1"/>
  </cols>
  <sheetData>
    <row r="1" spans="1:1" x14ac:dyDescent="0.35">
      <c r="A1" t="s">
        <v>139</v>
      </c>
    </row>
    <row r="2" spans="1:1" x14ac:dyDescent="0.35">
      <c r="A2" t="s">
        <v>140</v>
      </c>
    </row>
    <row r="3" spans="1:1" x14ac:dyDescent="0.35">
      <c r="A3" t="s">
        <v>141</v>
      </c>
    </row>
    <row r="4" spans="1:1" x14ac:dyDescent="0.35">
      <c r="A4" t="s">
        <v>142</v>
      </c>
    </row>
    <row r="5" spans="1:1" x14ac:dyDescent="0.35">
      <c r="A5" t="s">
        <v>143</v>
      </c>
    </row>
    <row r="6" spans="1:1" x14ac:dyDescent="0.35">
      <c r="A6" t="s">
        <v>144</v>
      </c>
    </row>
    <row r="7" spans="1:1" x14ac:dyDescent="0.35">
      <c r="A7" t="s">
        <v>145</v>
      </c>
    </row>
    <row r="8" spans="1:1" x14ac:dyDescent="0.35">
      <c r="A8" t="s">
        <v>146</v>
      </c>
    </row>
    <row r="9" spans="1:1" x14ac:dyDescent="0.35">
      <c r="A9" t="s">
        <v>147</v>
      </c>
    </row>
    <row r="10" spans="1:1" x14ac:dyDescent="0.35">
      <c r="A10" t="s">
        <v>148</v>
      </c>
    </row>
    <row r="11" spans="1:1" x14ac:dyDescent="0.35">
      <c r="A11" t="s">
        <v>149</v>
      </c>
    </row>
    <row r="12" spans="1:1" x14ac:dyDescent="0.35">
      <c r="A12" t="s">
        <v>150</v>
      </c>
    </row>
    <row r="13" spans="1:1" x14ac:dyDescent="0.35">
      <c r="A13" t="s">
        <v>151</v>
      </c>
    </row>
    <row r="14" spans="1:1" x14ac:dyDescent="0.35">
      <c r="A14" t="s">
        <v>152</v>
      </c>
    </row>
    <row r="15" spans="1:1" x14ac:dyDescent="0.35">
      <c r="A15" t="s">
        <v>153</v>
      </c>
    </row>
    <row r="17" spans="1:5" x14ac:dyDescent="0.35">
      <c r="A17" t="s">
        <v>0</v>
      </c>
      <c r="B17" s="24">
        <v>500</v>
      </c>
      <c r="D17" t="s">
        <v>40</v>
      </c>
      <c r="E17" s="24">
        <v>480</v>
      </c>
    </row>
    <row r="18" spans="1:5" x14ac:dyDescent="0.35">
      <c r="A18" t="s">
        <v>1</v>
      </c>
      <c r="B18" s="24">
        <v>480</v>
      </c>
      <c r="D18" t="s">
        <v>41</v>
      </c>
      <c r="E18" s="24">
        <v>500</v>
      </c>
    </row>
    <row r="19" spans="1:5" x14ac:dyDescent="0.35">
      <c r="A19" t="s">
        <v>2</v>
      </c>
      <c r="B19" s="11">
        <v>0.5</v>
      </c>
      <c r="D19" t="s">
        <v>42</v>
      </c>
      <c r="E19" s="24">
        <v>520</v>
      </c>
    </row>
    <row r="20" spans="1:5" x14ac:dyDescent="0.35">
      <c r="A20" t="s">
        <v>3</v>
      </c>
      <c r="B20" s="13">
        <v>0.03</v>
      </c>
      <c r="D20" t="s">
        <v>44</v>
      </c>
      <c r="E20" s="25">
        <f>B19-1/360</f>
        <v>0.49722222222222223</v>
      </c>
    </row>
    <row r="21" spans="1:5" x14ac:dyDescent="0.35">
      <c r="A21" t="s">
        <v>4</v>
      </c>
      <c r="B21" s="13">
        <v>0</v>
      </c>
    </row>
    <row r="22" spans="1:5" x14ac:dyDescent="0.35">
      <c r="A22" t="s">
        <v>5</v>
      </c>
      <c r="B22" s="13">
        <v>0.3</v>
      </c>
    </row>
    <row r="23" spans="1:5" x14ac:dyDescent="0.35">
      <c r="A23" t="s">
        <v>49</v>
      </c>
      <c r="B23" s="11">
        <v>1</v>
      </c>
      <c r="C23" t="s">
        <v>58</v>
      </c>
    </row>
    <row r="24" spans="1:5" x14ac:dyDescent="0.35">
      <c r="B24" t="s">
        <v>45</v>
      </c>
      <c r="C24" t="s">
        <v>46</v>
      </c>
      <c r="D24" t="s">
        <v>47</v>
      </c>
      <c r="E24" t="s">
        <v>48</v>
      </c>
    </row>
    <row r="25" spans="1:5" x14ac:dyDescent="0.35">
      <c r="A25" t="s">
        <v>0</v>
      </c>
      <c r="B25" s="3">
        <v>500</v>
      </c>
      <c r="C25">
        <f>E17</f>
        <v>480</v>
      </c>
      <c r="D25">
        <f>E18</f>
        <v>500</v>
      </c>
      <c r="E25">
        <f>E19</f>
        <v>520</v>
      </c>
    </row>
    <row r="26" spans="1:5" x14ac:dyDescent="0.35">
      <c r="A26" t="s">
        <v>1</v>
      </c>
      <c r="B26" s="3">
        <v>480</v>
      </c>
      <c r="C26" s="3">
        <f>B26</f>
        <v>480</v>
      </c>
      <c r="D26" s="3">
        <f t="shared" ref="D26:E26" si="0">C26</f>
        <v>480</v>
      </c>
      <c r="E26" s="3">
        <f t="shared" si="0"/>
        <v>480</v>
      </c>
    </row>
    <row r="27" spans="1:5" x14ac:dyDescent="0.35">
      <c r="A27" t="s">
        <v>2</v>
      </c>
      <c r="B27" s="7">
        <v>0.5</v>
      </c>
      <c r="C27" s="23">
        <f>E20</f>
        <v>0.49722222222222223</v>
      </c>
      <c r="D27" s="23">
        <f>E20</f>
        <v>0.49722222222222223</v>
      </c>
      <c r="E27" s="23">
        <f>E20</f>
        <v>0.49722222222222223</v>
      </c>
    </row>
    <row r="28" spans="1:5" x14ac:dyDescent="0.35">
      <c r="A28" t="s">
        <v>3</v>
      </c>
      <c r="B28" s="5">
        <v>0.03</v>
      </c>
      <c r="C28" s="5">
        <f>B28</f>
        <v>0.03</v>
      </c>
      <c r="D28" s="5">
        <f t="shared" ref="D28:E28" si="1">C28</f>
        <v>0.03</v>
      </c>
      <c r="E28" s="5">
        <f t="shared" si="1"/>
        <v>0.03</v>
      </c>
    </row>
    <row r="29" spans="1:5" x14ac:dyDescent="0.35">
      <c r="A29" t="s">
        <v>4</v>
      </c>
      <c r="B29" s="5">
        <v>0</v>
      </c>
      <c r="C29" s="5">
        <f>B29</f>
        <v>0</v>
      </c>
      <c r="D29" s="5">
        <f t="shared" ref="D29:E29" si="2">C29</f>
        <v>0</v>
      </c>
      <c r="E29" s="5">
        <f t="shared" si="2"/>
        <v>0</v>
      </c>
    </row>
    <row r="30" spans="1:5" x14ac:dyDescent="0.35">
      <c r="A30" t="s">
        <v>5</v>
      </c>
      <c r="B30" s="2">
        <v>0.3</v>
      </c>
      <c r="C30" s="2">
        <f>B30</f>
        <v>0.3</v>
      </c>
      <c r="D30" s="2">
        <f t="shared" ref="D30:E30" si="3">C30</f>
        <v>0.3</v>
      </c>
      <c r="E30" s="2">
        <f t="shared" si="3"/>
        <v>0.3</v>
      </c>
    </row>
    <row r="31" spans="1:5" x14ac:dyDescent="0.35">
      <c r="A31" t="s">
        <v>6</v>
      </c>
      <c r="B31" s="7">
        <f xml:space="preserve"> 1 / (B30 * SQRT(B27)) * (LN(B25/B26) + (B28 - B29 + B30^2/2)*B27)</f>
        <v>0.36921342294218717</v>
      </c>
      <c r="C31" s="7">
        <f t="shared" ref="C31:E31" si="4" xml:space="preserve"> 1 / (C30 * SQRT(C27)) * (LN(C25/C26) + (C28 - C29 + C30^2/2)*C27)</f>
        <v>0.17628496501088484</v>
      </c>
      <c r="D31" s="7">
        <f t="shared" si="4"/>
        <v>0.3692584767609019</v>
      </c>
      <c r="E31" s="7">
        <f t="shared" si="4"/>
        <v>0.55466241989193532</v>
      </c>
    </row>
    <row r="32" spans="1:5" x14ac:dyDescent="0.35">
      <c r="A32" t="s">
        <v>7</v>
      </c>
      <c r="B32" s="7">
        <f xml:space="preserve"> 1 / (B30 * SQRT(B27)) * (LN(B25/B26) + (B28 - B29 - B30^2/2)*B27)</f>
        <v>0.15708138858622286</v>
      </c>
      <c r="C32" s="7">
        <f t="shared" ref="C32:E32" si="5" xml:space="preserve"> 1 / (C30 * SQRT(C27)) * (LN(C25/C26) + (C28 - C29 - C30^2/2)*C27)</f>
        <v>-3.5256993002176967E-2</v>
      </c>
      <c r="D32" s="7">
        <f t="shared" si="5"/>
        <v>0.15771651874784012</v>
      </c>
      <c r="E32" s="7">
        <f t="shared" si="5"/>
        <v>0.34312046187887346</v>
      </c>
    </row>
    <row r="33" spans="1:6" x14ac:dyDescent="0.35">
      <c r="A33" t="s">
        <v>17</v>
      </c>
      <c r="B33" s="7">
        <f>B26 * EXP(-B28*B27) *_xlfn.NORM.DIST(-B32, 0, 1, 1) - B25 * EXP(-B29*B27) *_xlfn.NORM.DIST(-B31, 0, 1, 1)</f>
        <v>28.924068002110488</v>
      </c>
      <c r="C33" s="7">
        <f t="shared" ref="C33:E33" si="6">C26 * EXP(-C28*C27) *_xlfn.NORM.DIST(-C32, 0, 1, 1) - C25 * EXP(-C29*C27) *_xlfn.NORM.DIST(-C31, 0, 1, 1)</f>
        <v>36.679854089747067</v>
      </c>
      <c r="D33" s="7">
        <f t="shared" si="6"/>
        <v>28.831359784517673</v>
      </c>
      <c r="E33" s="7">
        <f t="shared" si="6"/>
        <v>22.38986601810609</v>
      </c>
    </row>
    <row r="34" spans="1:6" x14ac:dyDescent="0.35">
      <c r="A34" t="s">
        <v>9</v>
      </c>
      <c r="B34" s="5">
        <f>(_xlfn.NORM.DIST(B31, 0, 1, TRUE) - 1) * EXP(-B29*B27)</f>
        <v>-0.35598432577622563</v>
      </c>
    </row>
    <row r="36" spans="1:6" x14ac:dyDescent="0.35">
      <c r="A36" t="s">
        <v>51</v>
      </c>
      <c r="C36" s="14">
        <f>B33*B23</f>
        <v>28.924068002110488</v>
      </c>
    </row>
    <row r="37" spans="1:6" x14ac:dyDescent="0.35">
      <c r="A37" t="s">
        <v>50</v>
      </c>
      <c r="C37" s="15">
        <f>-B23*B34</f>
        <v>0.35598432577622563</v>
      </c>
      <c r="D37" t="s">
        <v>59</v>
      </c>
    </row>
    <row r="38" spans="1:6" x14ac:dyDescent="0.35">
      <c r="B38" t="s">
        <v>52</v>
      </c>
      <c r="C38" t="s">
        <v>53</v>
      </c>
      <c r="D38" t="s">
        <v>54</v>
      </c>
      <c r="E38" t="s">
        <v>55</v>
      </c>
    </row>
    <row r="39" spans="1:6" x14ac:dyDescent="0.35">
      <c r="A39" t="s">
        <v>46</v>
      </c>
      <c r="B39">
        <f>E17</f>
        <v>480</v>
      </c>
      <c r="C39" s="7">
        <f>(C33-B33)*B23</f>
        <v>7.7557860876365794</v>
      </c>
      <c r="D39" s="7">
        <f>$C$37*(E17-$B$17)</f>
        <v>-7.1196865155245126</v>
      </c>
      <c r="E39" s="14">
        <f>C39+D39</f>
        <v>0.6360995721120668</v>
      </c>
      <c r="F39" t="s">
        <v>56</v>
      </c>
    </row>
    <row r="40" spans="1:6" x14ac:dyDescent="0.35">
      <c r="A40" t="s">
        <v>47</v>
      </c>
      <c r="B40">
        <f t="shared" ref="B40:B41" si="7">E18</f>
        <v>500</v>
      </c>
      <c r="C40" s="7">
        <f>(D33-B33)*B23</f>
        <v>-9.270821759281489E-2</v>
      </c>
      <c r="D40" s="7">
        <f t="shared" ref="D40:D41" si="8">$C$37*(E18-$B$17)</f>
        <v>0</v>
      </c>
      <c r="E40" s="14">
        <f t="shared" ref="E40:E41" si="9">C40+D40</f>
        <v>-9.270821759281489E-2</v>
      </c>
      <c r="F40" t="s">
        <v>57</v>
      </c>
    </row>
    <row r="41" spans="1:6" x14ac:dyDescent="0.35">
      <c r="A41" t="s">
        <v>48</v>
      </c>
      <c r="B41">
        <f t="shared" si="7"/>
        <v>520</v>
      </c>
      <c r="C41" s="7">
        <f>(E33-B33)*B23</f>
        <v>-6.5342019840043974</v>
      </c>
      <c r="D41" s="7">
        <f t="shared" si="8"/>
        <v>7.1196865155245126</v>
      </c>
      <c r="E41" s="14">
        <f t="shared" si="9"/>
        <v>0.58548453152011515</v>
      </c>
      <c r="F41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4539A-B856-48F9-AC03-404B60A90487}">
  <dimension ref="A1:F52"/>
  <sheetViews>
    <sheetView workbookViewId="0">
      <selection activeCell="E52" sqref="E52"/>
    </sheetView>
  </sheetViews>
  <sheetFormatPr defaultRowHeight="14.5" x14ac:dyDescent="0.35"/>
  <sheetData>
    <row r="1" spans="1:1" x14ac:dyDescent="0.35">
      <c r="A1" t="s">
        <v>154</v>
      </c>
    </row>
    <row r="2" spans="1:1" x14ac:dyDescent="0.35">
      <c r="A2" t="s">
        <v>155</v>
      </c>
    </row>
    <row r="3" spans="1:1" x14ac:dyDescent="0.35">
      <c r="A3" t="s">
        <v>156</v>
      </c>
    </row>
    <row r="4" spans="1:1" x14ac:dyDescent="0.35">
      <c r="A4" t="s">
        <v>157</v>
      </c>
    </row>
    <row r="5" spans="1:1" x14ac:dyDescent="0.35">
      <c r="A5" t="s">
        <v>158</v>
      </c>
    </row>
    <row r="6" spans="1:1" x14ac:dyDescent="0.35">
      <c r="A6" t="s">
        <v>159</v>
      </c>
    </row>
    <row r="7" spans="1:1" x14ac:dyDescent="0.35">
      <c r="A7" t="s">
        <v>160</v>
      </c>
    </row>
    <row r="8" spans="1:1" x14ac:dyDescent="0.35">
      <c r="A8" t="s">
        <v>161</v>
      </c>
    </row>
    <row r="9" spans="1:1" x14ac:dyDescent="0.35">
      <c r="A9" t="s">
        <v>162</v>
      </c>
    </row>
    <row r="10" spans="1:1" x14ac:dyDescent="0.35">
      <c r="A10" t="s">
        <v>163</v>
      </c>
    </row>
    <row r="11" spans="1:1" x14ac:dyDescent="0.35">
      <c r="A11" t="s">
        <v>164</v>
      </c>
    </row>
    <row r="12" spans="1:1" x14ac:dyDescent="0.35">
      <c r="A12" t="s">
        <v>165</v>
      </c>
    </row>
    <row r="13" spans="1:1" x14ac:dyDescent="0.35">
      <c r="A13" t="s">
        <v>166</v>
      </c>
    </row>
    <row r="14" spans="1:1" x14ac:dyDescent="0.35">
      <c r="A14" t="s">
        <v>167</v>
      </c>
    </row>
    <row r="15" spans="1:1" x14ac:dyDescent="0.35">
      <c r="A15" t="s">
        <v>168</v>
      </c>
    </row>
    <row r="16" spans="1:1" x14ac:dyDescent="0.35">
      <c r="A16" t="s">
        <v>169</v>
      </c>
    </row>
    <row r="17" spans="1:5" x14ac:dyDescent="0.35">
      <c r="A17" t="s">
        <v>170</v>
      </c>
    </row>
    <row r="19" spans="1:5" x14ac:dyDescent="0.35">
      <c r="A19" t="s">
        <v>0</v>
      </c>
      <c r="B19" s="24">
        <v>500</v>
      </c>
      <c r="D19" t="s">
        <v>62</v>
      </c>
      <c r="E19" s="24">
        <v>500</v>
      </c>
    </row>
    <row r="20" spans="1:5" x14ac:dyDescent="0.35">
      <c r="A20" t="s">
        <v>13</v>
      </c>
      <c r="B20" s="24">
        <v>480</v>
      </c>
      <c r="D20" t="s">
        <v>40</v>
      </c>
      <c r="E20" s="24">
        <v>480</v>
      </c>
    </row>
    <row r="21" spans="1:5" x14ac:dyDescent="0.35">
      <c r="A21" t="s">
        <v>2</v>
      </c>
      <c r="B21" s="11">
        <v>0.5</v>
      </c>
    </row>
    <row r="22" spans="1:5" x14ac:dyDescent="0.35">
      <c r="A22" t="s">
        <v>3</v>
      </c>
      <c r="B22" s="13">
        <v>0.03</v>
      </c>
    </row>
    <row r="23" spans="1:5" x14ac:dyDescent="0.35">
      <c r="A23" t="s">
        <v>4</v>
      </c>
      <c r="B23" s="13">
        <v>0</v>
      </c>
    </row>
    <row r="24" spans="1:5" x14ac:dyDescent="0.35">
      <c r="A24" t="s">
        <v>5</v>
      </c>
      <c r="B24" s="13">
        <v>0.3</v>
      </c>
    </row>
    <row r="25" spans="1:5" x14ac:dyDescent="0.35">
      <c r="A25" t="s">
        <v>49</v>
      </c>
      <c r="B25" s="11">
        <v>1</v>
      </c>
      <c r="C25" t="s">
        <v>58</v>
      </c>
    </row>
    <row r="26" spans="1:5" x14ac:dyDescent="0.35">
      <c r="B26" s="4"/>
    </row>
    <row r="27" spans="1:5" x14ac:dyDescent="0.35">
      <c r="B27" s="33" t="s">
        <v>60</v>
      </c>
      <c r="C27" s="33"/>
      <c r="D27" s="33" t="s">
        <v>61</v>
      </c>
      <c r="E27" s="33"/>
    </row>
    <row r="28" spans="1:5" x14ac:dyDescent="0.35">
      <c r="A28" t="s">
        <v>0</v>
      </c>
      <c r="B28" s="3">
        <v>500</v>
      </c>
      <c r="C28">
        <f>E19</f>
        <v>500</v>
      </c>
      <c r="D28">
        <f>E20</f>
        <v>480</v>
      </c>
      <c r="E28">
        <f>E20</f>
        <v>480</v>
      </c>
    </row>
    <row r="29" spans="1:5" x14ac:dyDescent="0.35">
      <c r="A29" t="s">
        <v>1</v>
      </c>
      <c r="B29" s="3">
        <v>480</v>
      </c>
      <c r="C29" s="3">
        <f>E19</f>
        <v>500</v>
      </c>
      <c r="D29" s="3">
        <f>B29</f>
        <v>480</v>
      </c>
      <c r="E29" s="3">
        <f>C29</f>
        <v>500</v>
      </c>
    </row>
    <row r="30" spans="1:5" x14ac:dyDescent="0.35">
      <c r="A30" t="s">
        <v>2</v>
      </c>
      <c r="B30" s="7">
        <v>0.5</v>
      </c>
      <c r="C30" s="7">
        <f>B30</f>
        <v>0.5</v>
      </c>
      <c r="D30" s="7">
        <f>B30</f>
        <v>0.5</v>
      </c>
      <c r="E30" s="7">
        <f>C30</f>
        <v>0.5</v>
      </c>
    </row>
    <row r="31" spans="1:5" x14ac:dyDescent="0.35">
      <c r="A31" t="s">
        <v>3</v>
      </c>
      <c r="B31" s="5">
        <v>0.03</v>
      </c>
      <c r="C31" s="5">
        <f>B31</f>
        <v>0.03</v>
      </c>
      <c r="D31" s="5">
        <f t="shared" ref="D31:E33" si="0">C31</f>
        <v>0.03</v>
      </c>
      <c r="E31" s="5">
        <f t="shared" si="0"/>
        <v>0.03</v>
      </c>
    </row>
    <row r="32" spans="1:5" x14ac:dyDescent="0.35">
      <c r="A32" t="s">
        <v>4</v>
      </c>
      <c r="B32" s="5">
        <f>B23%</f>
        <v>0</v>
      </c>
      <c r="C32" s="5">
        <f>B32</f>
        <v>0</v>
      </c>
      <c r="D32" s="5">
        <f t="shared" si="0"/>
        <v>0</v>
      </c>
      <c r="E32" s="5">
        <f t="shared" si="0"/>
        <v>0</v>
      </c>
    </row>
    <row r="33" spans="1:5" x14ac:dyDescent="0.35">
      <c r="A33" t="s">
        <v>5</v>
      </c>
      <c r="B33" s="2">
        <v>0.3</v>
      </c>
      <c r="C33" s="2">
        <f>B33</f>
        <v>0.3</v>
      </c>
      <c r="D33" s="2">
        <f t="shared" si="0"/>
        <v>0.3</v>
      </c>
      <c r="E33" s="2">
        <f t="shared" si="0"/>
        <v>0.3</v>
      </c>
    </row>
    <row r="34" spans="1:5" x14ac:dyDescent="0.35">
      <c r="A34" t="s">
        <v>6</v>
      </c>
      <c r="B34" s="7">
        <f xml:space="preserve"> 1 / (B33 * SQRT(B30)) * (LN(B28/B29) + (B31 - B32 + B33^2/2)*B30)</f>
        <v>0.36921342294218717</v>
      </c>
      <c r="C34" s="7">
        <f t="shared" ref="C34:E34" si="1" xml:space="preserve"> 1 / (C33 * SQRT(C30)) * (LN(C28/C29) + (C31 - C32 + C33^2/2)*C30)</f>
        <v>0.17677669529663689</v>
      </c>
      <c r="D34" s="7">
        <f t="shared" si="1"/>
        <v>0.17677669529663689</v>
      </c>
      <c r="E34" s="7">
        <f t="shared" si="1"/>
        <v>-1.5660032348913201E-2</v>
      </c>
    </row>
    <row r="35" spans="1:5" x14ac:dyDescent="0.35">
      <c r="A35" t="s">
        <v>7</v>
      </c>
      <c r="B35" s="7">
        <f xml:space="preserve"> 1 / (B33 * SQRT(B30)) * (LN(B28/B29) + (B31 - B32 - B33^2/2)*B30)</f>
        <v>0.15708138858622286</v>
      </c>
      <c r="C35" s="7">
        <f t="shared" ref="C35:E35" si="2" xml:space="preserve"> 1 / (C33 * SQRT(C30)) * (LN(C28/C29) + (C31 - C32 - C33^2/2)*C30)</f>
        <v>-3.5355339059327376E-2</v>
      </c>
      <c r="D35" s="7">
        <f t="shared" si="2"/>
        <v>-3.5355339059327376E-2</v>
      </c>
      <c r="E35" s="7">
        <f t="shared" si="2"/>
        <v>-0.22779206670487745</v>
      </c>
    </row>
    <row r="36" spans="1:5" x14ac:dyDescent="0.35">
      <c r="A36" t="s">
        <v>15</v>
      </c>
      <c r="B36" s="7">
        <f>B28 * EXP(-B32*B30) *_xlfn.NORM.DIST(B34, 0, 1, 1) - B29 * EXP(-B31*B30) *_xlfn.NORM.DIST(B35, 0, 1, 1)</f>
        <v>56.070336992640421</v>
      </c>
      <c r="C36" s="26">
        <f>C28 * EXP(-C32*C30) *_xlfn.NORM.DIST(C34, 0, 1, 1) - C29 * EXP(-C31*C30) *_xlfn.NORM.DIST(C35, 0, 1, 1)</f>
        <v>45.746992888298252</v>
      </c>
      <c r="D36" s="7">
        <f t="shared" ref="D36:E36" si="3">D28 * EXP(-D32*D30) *_xlfn.NORM.DIST(D34, 0, 1, 1) - D29 * EXP(-D31*D30) *_xlfn.NORM.DIST(D35, 0, 1, 1)</f>
        <v>43.917113172766335</v>
      </c>
      <c r="E36" s="26">
        <f t="shared" si="3"/>
        <v>35.100710790045071</v>
      </c>
    </row>
    <row r="37" spans="1:5" x14ac:dyDescent="0.35">
      <c r="A37" t="s">
        <v>17</v>
      </c>
      <c r="B37" s="26">
        <f>B29 * EXP(-B31*B30) *_xlfn.NORM.DIST(-B35, 0, 1, 1) - B28 * EXP(-B32*B30) *_xlfn.NORM.DIST(-B34, 0, 1, 1)</f>
        <v>28.924068002110488</v>
      </c>
      <c r="C37" s="7">
        <f>C29 * EXP(-C31*C30) *_xlfn.NORM.DIST(-C35, 0, 1, 1) - C28 * EXP(-C32*C30) *_xlfn.NORM.DIST(-C34, 0, 1, 1)</f>
        <v>38.302962689829599</v>
      </c>
      <c r="D37" s="26">
        <f>D29 * EXP(-D31*D30) *_xlfn.NORM.DIST(-D35, 0, 1, 1) - D28 * EXP(-D32*D30) *_xlfn.NORM.DIST(-D34, 0, 1, 1)</f>
        <v>36.770844182236431</v>
      </c>
      <c r="E37" s="7">
        <f>E29 * EXP(-E31*E30) *_xlfn.NORM.DIST(-E35, 0, 1, 1) - E28 * EXP(-E32*E30) *_xlfn.NORM.DIST(-E34, 0, 1, 1)</f>
        <v>47.656680591576389</v>
      </c>
    </row>
    <row r="38" spans="1:5" x14ac:dyDescent="0.35">
      <c r="A38" t="s">
        <v>8</v>
      </c>
      <c r="B38" s="5">
        <f>(_xlfn.NORM.DIST(B34,0,1,TRUE)*EXP(-B32*B30))</f>
        <v>0.64401567422377437</v>
      </c>
      <c r="C38" s="28">
        <f t="shared" ref="C38" si="4">(_xlfn.NORM.DIST(C34,0,1,TRUE)*EXP(-C32*C30))</f>
        <v>0.57015810240066689</v>
      </c>
      <c r="D38" s="5"/>
      <c r="E38" s="5"/>
    </row>
    <row r="39" spans="1:5" x14ac:dyDescent="0.35">
      <c r="A39" t="s">
        <v>9</v>
      </c>
      <c r="B39" s="28">
        <f>(B38-1)*EXP(-B32*B30)</f>
        <v>-0.35598432577622563</v>
      </c>
      <c r="C39" s="5">
        <f>(C38-1)*EXP(-C32*C30)</f>
        <v>-0.42984189759933311</v>
      </c>
      <c r="D39" s="5"/>
      <c r="E39" s="5"/>
    </row>
    <row r="40" spans="1:5" x14ac:dyDescent="0.35">
      <c r="A40" t="s">
        <v>63</v>
      </c>
      <c r="B40" s="29">
        <f>EXP(-B32*B30) * _xlfn.NORM.DIST(B34, 0, 1, FALSE) / (B28*B33*SQRT(B30))</f>
        <v>3.5134405326561436E-3</v>
      </c>
      <c r="C40" s="29">
        <f t="shared" ref="C40" si="5">EXP(-C32*C30) * _xlfn.NORM.DIST(C34, 0, 1, FALSE) / (C28*C33*SQRT(C30))</f>
        <v>3.7029508986555419E-3</v>
      </c>
      <c r="D40" s="27"/>
      <c r="E40" s="27"/>
    </row>
    <row r="42" spans="1:5" x14ac:dyDescent="0.35">
      <c r="A42" t="s">
        <v>64</v>
      </c>
      <c r="B42" s="4">
        <f>B25</f>
        <v>1</v>
      </c>
    </row>
    <row r="43" spans="1:5" x14ac:dyDescent="0.35">
      <c r="A43" t="s">
        <v>65</v>
      </c>
      <c r="B43" s="14">
        <f>-B40/C40*B42</f>
        <v>-0.94882179883395024</v>
      </c>
      <c r="C43" t="s">
        <v>66</v>
      </c>
    </row>
    <row r="44" spans="1:5" x14ac:dyDescent="0.35">
      <c r="A44" t="s">
        <v>67</v>
      </c>
      <c r="B44" s="30">
        <f>B42*B39 +  B43*C38</f>
        <v>-0.89696276211577797</v>
      </c>
      <c r="C44" t="s">
        <v>68</v>
      </c>
    </row>
    <row r="45" spans="1:5" x14ac:dyDescent="0.35">
      <c r="A45" t="s">
        <v>69</v>
      </c>
      <c r="B45" s="15">
        <f>-B44</f>
        <v>0.89696276211577797</v>
      </c>
      <c r="C45" t="s">
        <v>70</v>
      </c>
    </row>
    <row r="47" spans="1:5" x14ac:dyDescent="0.35">
      <c r="B47" t="s">
        <v>73</v>
      </c>
      <c r="C47" t="s">
        <v>75</v>
      </c>
      <c r="D47" t="s">
        <v>74</v>
      </c>
      <c r="E47" t="s">
        <v>76</v>
      </c>
    </row>
    <row r="48" spans="1:5" x14ac:dyDescent="0.35">
      <c r="A48" t="s">
        <v>72</v>
      </c>
      <c r="B48" s="4">
        <f>B42</f>
        <v>1</v>
      </c>
      <c r="C48" s="7">
        <f>B37</f>
        <v>28.924068002110488</v>
      </c>
      <c r="D48" s="7">
        <f>D37</f>
        <v>36.770844182236431</v>
      </c>
      <c r="E48" s="7">
        <f>B48*(D48-C48)</f>
        <v>7.8467761801259428</v>
      </c>
    </row>
    <row r="49" spans="1:6" x14ac:dyDescent="0.35">
      <c r="A49" t="s">
        <v>71</v>
      </c>
      <c r="B49" s="7">
        <f>B43</f>
        <v>-0.94882179883395024</v>
      </c>
      <c r="C49" s="7">
        <f>C36</f>
        <v>45.746992888298252</v>
      </c>
      <c r="D49" s="7">
        <f>E36</f>
        <v>35.100710790045071</v>
      </c>
      <c r="E49" s="7">
        <f t="shared" ref="E49:E50" si="6">B49*(D49-C49)</f>
        <v>10.101424531358266</v>
      </c>
    </row>
    <row r="50" spans="1:6" x14ac:dyDescent="0.35">
      <c r="A50" t="s">
        <v>52</v>
      </c>
      <c r="B50" s="7">
        <f>B45</f>
        <v>0.89696276211577797</v>
      </c>
      <c r="C50" s="3">
        <f>B28</f>
        <v>500</v>
      </c>
      <c r="D50">
        <f>E20</f>
        <v>480</v>
      </c>
      <c r="E50" s="7">
        <f t="shared" si="6"/>
        <v>-17.939255242315561</v>
      </c>
    </row>
    <row r="51" spans="1:6" x14ac:dyDescent="0.35">
      <c r="E51" s="15">
        <f>SUM(E48:E50)</f>
        <v>8.9454691686476906E-3</v>
      </c>
      <c r="F51" t="s">
        <v>77</v>
      </c>
    </row>
    <row r="52" spans="1:6" x14ac:dyDescent="0.35">
      <c r="D52" t="s">
        <v>78</v>
      </c>
      <c r="E52" s="4">
        <f>B49*C49+B50*C50</f>
        <v>405.0756369743699</v>
      </c>
    </row>
  </sheetData>
  <mergeCells count="2">
    <mergeCell ref="B27:C27"/>
    <mergeCell ref="D27:E2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5D7F1-F1E4-4F8A-B815-0F7183632ECA}">
  <dimension ref="A1:H39"/>
  <sheetViews>
    <sheetView workbookViewId="0">
      <selection activeCell="B38" sqref="B38"/>
    </sheetView>
  </sheetViews>
  <sheetFormatPr defaultRowHeight="14.5" x14ac:dyDescent="0.35"/>
  <sheetData>
    <row r="1" spans="1:1" x14ac:dyDescent="0.35">
      <c r="A1" t="s">
        <v>171</v>
      </c>
    </row>
    <row r="2" spans="1:1" x14ac:dyDescent="0.35">
      <c r="A2" t="s">
        <v>172</v>
      </c>
    </row>
    <row r="3" spans="1:1" x14ac:dyDescent="0.35">
      <c r="A3" t="s">
        <v>173</v>
      </c>
    </row>
    <row r="4" spans="1:1" x14ac:dyDescent="0.35">
      <c r="A4" t="s">
        <v>174</v>
      </c>
    </row>
    <row r="5" spans="1:1" x14ac:dyDescent="0.35">
      <c r="A5" t="s">
        <v>175</v>
      </c>
    </row>
    <row r="6" spans="1:1" x14ac:dyDescent="0.35">
      <c r="A6" t="s">
        <v>176</v>
      </c>
    </row>
    <row r="7" spans="1:1" x14ac:dyDescent="0.35">
      <c r="A7" t="s">
        <v>177</v>
      </c>
    </row>
    <row r="8" spans="1:1" x14ac:dyDescent="0.35">
      <c r="A8" t="s">
        <v>178</v>
      </c>
    </row>
    <row r="9" spans="1:1" x14ac:dyDescent="0.35">
      <c r="A9" t="s">
        <v>179</v>
      </c>
    </row>
    <row r="10" spans="1:1" x14ac:dyDescent="0.35">
      <c r="A10" t="s">
        <v>180</v>
      </c>
    </row>
    <row r="11" spans="1:1" x14ac:dyDescent="0.35">
      <c r="A11" t="s">
        <v>181</v>
      </c>
    </row>
    <row r="12" spans="1:1" x14ac:dyDescent="0.35">
      <c r="A12" t="s">
        <v>182</v>
      </c>
    </row>
    <row r="13" spans="1:1" x14ac:dyDescent="0.35">
      <c r="A13" t="s">
        <v>183</v>
      </c>
    </row>
    <row r="14" spans="1:1" x14ac:dyDescent="0.35">
      <c r="A14" t="s">
        <v>184</v>
      </c>
    </row>
    <row r="15" spans="1:1" x14ac:dyDescent="0.35">
      <c r="A15" t="s">
        <v>185</v>
      </c>
    </row>
    <row r="16" spans="1:1" x14ac:dyDescent="0.35">
      <c r="A16" t="s">
        <v>186</v>
      </c>
    </row>
    <row r="17" spans="1:8" x14ac:dyDescent="0.35">
      <c r="A17" t="s">
        <v>187</v>
      </c>
    </row>
    <row r="18" spans="1:8" x14ac:dyDescent="0.35">
      <c r="A18" t="s">
        <v>188</v>
      </c>
    </row>
    <row r="20" spans="1:8" x14ac:dyDescent="0.35">
      <c r="A20" t="s">
        <v>2</v>
      </c>
      <c r="B20" s="24">
        <v>5</v>
      </c>
    </row>
    <row r="21" spans="1:8" x14ac:dyDescent="0.35">
      <c r="A21" t="s">
        <v>79</v>
      </c>
      <c r="B21" s="13">
        <v>0.01</v>
      </c>
    </row>
    <row r="22" spans="1:8" x14ac:dyDescent="0.35">
      <c r="A22" t="s">
        <v>80</v>
      </c>
      <c r="B22" s="13">
        <v>0.04</v>
      </c>
    </row>
    <row r="23" spans="1:8" x14ac:dyDescent="0.35">
      <c r="A23" t="s">
        <v>43</v>
      </c>
      <c r="B23" s="13">
        <v>0.4</v>
      </c>
    </row>
    <row r="24" spans="1:8" x14ac:dyDescent="0.35">
      <c r="A24" t="s">
        <v>81</v>
      </c>
      <c r="B24" s="13">
        <v>0.01</v>
      </c>
    </row>
    <row r="26" spans="1:8" x14ac:dyDescent="0.35">
      <c r="A26" t="s">
        <v>82</v>
      </c>
      <c r="B26" s="30">
        <f>(1 - (1 + B21)^B20 / (1 + B22)^B20)/(1-B23)</f>
        <v>0.22691058391050994</v>
      </c>
    </row>
    <row r="27" spans="1:8" x14ac:dyDescent="0.35">
      <c r="A27" t="s">
        <v>83</v>
      </c>
      <c r="B27" s="32">
        <f>-LN(1-B26)/B20</f>
        <v>5.1472112594253383E-2</v>
      </c>
      <c r="C27" t="s">
        <v>91</v>
      </c>
    </row>
    <row r="28" spans="1:8" x14ac:dyDescent="0.35">
      <c r="B28" s="1"/>
    </row>
    <row r="29" spans="1:8" x14ac:dyDescent="0.35">
      <c r="E29" s="33" t="s">
        <v>89</v>
      </c>
      <c r="F29" s="33"/>
      <c r="G29" s="33" t="str">
        <f>"Coupon=" &amp; B24*100 &amp; "%"</f>
        <v>Coupon=1%</v>
      </c>
      <c r="H29" s="33"/>
    </row>
    <row r="30" spans="1:8" x14ac:dyDescent="0.35">
      <c r="A30" t="s">
        <v>2</v>
      </c>
      <c r="B30" t="s">
        <v>92</v>
      </c>
      <c r="C30" t="s">
        <v>84</v>
      </c>
      <c r="D30" t="s">
        <v>85</v>
      </c>
      <c r="E30" t="s">
        <v>86</v>
      </c>
      <c r="F30" t="s">
        <v>87</v>
      </c>
      <c r="G30" t="s">
        <v>86</v>
      </c>
      <c r="H30" t="s">
        <v>87</v>
      </c>
    </row>
    <row r="31" spans="1:8" x14ac:dyDescent="0.35">
      <c r="A31">
        <v>1</v>
      </c>
      <c r="B31" s="21">
        <f>1 / (1+$B$21)^A31</f>
        <v>0.99009900990099009</v>
      </c>
      <c r="C31" s="5">
        <f>EXP(-$B$27*A31)</f>
        <v>0.94983013789130377</v>
      </c>
      <c r="D31" s="5">
        <f>1-C31</f>
        <v>5.0169862108696228E-2</v>
      </c>
      <c r="E31" s="21">
        <f>C31*B31</f>
        <v>0.94042587910030073</v>
      </c>
      <c r="F31" s="21">
        <f>D31*(1-$B$23)*B31</f>
        <v>2.98038784804136E-2</v>
      </c>
      <c r="G31" s="21">
        <f>$B$24*C31*B31</f>
        <v>9.4042587910030083E-3</v>
      </c>
      <c r="H31" s="31">
        <f>D31*(1-$B$23)*B31</f>
        <v>2.98038784804136E-2</v>
      </c>
    </row>
    <row r="32" spans="1:8" x14ac:dyDescent="0.35">
      <c r="A32">
        <v>2</v>
      </c>
      <c r="B32" s="21">
        <f t="shared" ref="B32:B35" si="0">1 / (1+$B$21)^A32</f>
        <v>0.98029604940692083</v>
      </c>
      <c r="C32" s="5">
        <f t="shared" ref="C32:C35" si="1">EXP(-$B$27*A32)</f>
        <v>0.90217729084661313</v>
      </c>
      <c r="D32" s="5">
        <f>C31-C32</f>
        <v>4.7652847044690638E-2</v>
      </c>
      <c r="E32" s="21">
        <f t="shared" ref="E32:E35" si="2">C32*B32</f>
        <v>0.88440083408157344</v>
      </c>
      <c r="F32" s="21">
        <f t="shared" ref="F32:F35" si="3">D32*(1-$B$23)*B32</f>
        <v>2.8028338620541493E-2</v>
      </c>
      <c r="G32" s="21">
        <f t="shared" ref="G32:G35" si="4">$B$24*C32*B32</f>
        <v>8.8440083408157337E-3</v>
      </c>
      <c r="H32" s="31">
        <f t="shared" ref="H32:H35" si="5">D32*(1-$B$23)*B32</f>
        <v>2.8028338620541493E-2</v>
      </c>
    </row>
    <row r="33" spans="1:8" x14ac:dyDescent="0.35">
      <c r="A33">
        <v>3</v>
      </c>
      <c r="B33" s="21">
        <f t="shared" si="0"/>
        <v>0.97059014792764453</v>
      </c>
      <c r="C33" s="5">
        <f t="shared" si="1"/>
        <v>0.85691518056724136</v>
      </c>
      <c r="D33" s="5">
        <f t="shared" ref="D33:D35" si="6">C32-C33</f>
        <v>4.526211027937177E-2</v>
      </c>
      <c r="E33" s="21">
        <f t="shared" si="2"/>
        <v>0.83171343186820301</v>
      </c>
      <c r="F33" s="21">
        <f t="shared" si="3"/>
        <v>2.6358574986943682E-2</v>
      </c>
      <c r="G33" s="21">
        <f t="shared" si="4"/>
        <v>8.317134318682029E-3</v>
      </c>
      <c r="H33" s="31">
        <f t="shared" si="5"/>
        <v>2.6358574986943682E-2</v>
      </c>
    </row>
    <row r="34" spans="1:8" x14ac:dyDescent="0.35">
      <c r="A34">
        <v>4</v>
      </c>
      <c r="B34" s="21">
        <f t="shared" si="0"/>
        <v>0.96098034448281622</v>
      </c>
      <c r="C34" s="5">
        <f t="shared" si="1"/>
        <v>0.81392386411933437</v>
      </c>
      <c r="D34" s="5">
        <f t="shared" si="6"/>
        <v>4.2991316447906991E-2</v>
      </c>
      <c r="E34" s="21">
        <f t="shared" si="2"/>
        <v>0.78216483532418279</v>
      </c>
      <c r="F34" s="21">
        <f t="shared" si="3"/>
        <v>2.4788286053927654E-2</v>
      </c>
      <c r="G34" s="21">
        <f t="shared" si="4"/>
        <v>7.8216483532418286E-3</v>
      </c>
      <c r="H34" s="31">
        <f t="shared" si="5"/>
        <v>2.4788286053927654E-2</v>
      </c>
    </row>
    <row r="35" spans="1:8" x14ac:dyDescent="0.35">
      <c r="A35">
        <v>5</v>
      </c>
      <c r="B35" s="21">
        <f t="shared" si="0"/>
        <v>0.95146568760674888</v>
      </c>
      <c r="C35" s="5">
        <f t="shared" si="1"/>
        <v>0.77308941608949011</v>
      </c>
      <c r="D35" s="5">
        <f t="shared" si="6"/>
        <v>4.0834448029844261E-2</v>
      </c>
      <c r="E35" s="21">
        <f t="shared" si="2"/>
        <v>0.73556805286108673</v>
      </c>
      <c r="F35" s="21">
        <f t="shared" si="3"/>
        <v>2.3311545703654693E-2</v>
      </c>
      <c r="G35" s="21">
        <f t="shared" si="4"/>
        <v>7.3556805286108667E-3</v>
      </c>
      <c r="H35" s="31">
        <f t="shared" si="5"/>
        <v>2.3311545703654693E-2</v>
      </c>
    </row>
    <row r="37" spans="1:8" x14ac:dyDescent="0.35">
      <c r="A37" t="s">
        <v>88</v>
      </c>
      <c r="B37" s="32">
        <f>SUM(F31:F35)/SUM(E31:E35)</f>
        <v>3.1691895281451402E-2</v>
      </c>
    </row>
    <row r="38" spans="1:8" x14ac:dyDescent="0.35">
      <c r="A38" t="s">
        <v>90</v>
      </c>
      <c r="B38" s="32">
        <f>SUM(H31:H35)-SUM(G31:G35)</f>
        <v>9.0547893513127656E-2</v>
      </c>
      <c r="C38" t="s">
        <v>189</v>
      </c>
    </row>
    <row r="39" spans="1:8" x14ac:dyDescent="0.35">
      <c r="C39" s="1"/>
    </row>
  </sheetData>
  <mergeCells count="2">
    <mergeCell ref="E29:F29"/>
    <mergeCell ref="G29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Problem1</vt:lpstr>
      <vt:lpstr>Problem2</vt:lpstr>
      <vt:lpstr>Problem3</vt:lpstr>
      <vt:lpstr>Problem4</vt:lpstr>
      <vt:lpstr>Problem5</vt:lpstr>
      <vt:lpstr>Problem6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abak</dc:creator>
  <cp:lastModifiedBy>Artem Bakulin</cp:lastModifiedBy>
  <dcterms:created xsi:type="dcterms:W3CDTF">2023-04-21T19:57:47Z</dcterms:created>
  <dcterms:modified xsi:type="dcterms:W3CDTF">2023-11-21T06:47:17Z</dcterms:modified>
</cp:coreProperties>
</file>