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40a26e5ef3a99/Desktop/Professional/Portfolio/Folio/Excel/"/>
    </mc:Choice>
  </mc:AlternateContent>
  <xr:revisionPtr revIDLastSave="9" documentId="8_{C518A684-25A6-40E2-AA18-A4327EDAA1FE}" xr6:coauthVersionLast="47" xr6:coauthVersionMax="47" xr10:uidLastSave="{951EB833-5614-4784-9D9F-D1D62969AFAA}"/>
  <bookViews>
    <workbookView minimized="1" xWindow="380" yWindow="380" windowWidth="14400" windowHeight="7270" firstSheet="5" activeTab="5" xr2:uid="{89DDE105-3C9F-42F5-B76C-916AF378ABD1}"/>
  </bookViews>
  <sheets>
    <sheet name="Profit Analysis (Sensitivity)" sheetId="1" r:id="rId1"/>
    <sheet name="Real Estate NPV" sheetId="2" r:id="rId2"/>
    <sheet name="Advert Budget BaseCase Analysis" sheetId="3" r:id="rId3"/>
    <sheet name="What-If Scenario Summary" sheetId="4" r:id="rId4"/>
    <sheet name="Budget Break-Even Analysis" sheetId="5" r:id="rId5"/>
    <sheet name="CPM" sheetId="6" r:id="rId6"/>
    <sheet name="PERT Critical Path Estimate" sheetId="7" r:id="rId7"/>
  </sheets>
  <calcPr calcId="191029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7" l="1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C15" i="7" s="1"/>
  <c r="C16" i="7" s="1"/>
  <c r="F4" i="7"/>
  <c r="C14" i="7" s="1"/>
  <c r="G32" i="5"/>
  <c r="F32" i="5"/>
  <c r="E32" i="5"/>
  <c r="D32" i="5"/>
  <c r="H32" i="5" s="1"/>
  <c r="G31" i="5"/>
  <c r="F31" i="5"/>
  <c r="E31" i="5"/>
  <c r="D31" i="5"/>
  <c r="H31" i="5" s="1"/>
  <c r="G27" i="5"/>
  <c r="G33" i="5" s="1"/>
  <c r="G34" i="5" s="1"/>
  <c r="G26" i="5"/>
  <c r="G28" i="5" s="1"/>
  <c r="F26" i="5"/>
  <c r="F27" i="5" s="1"/>
  <c r="G24" i="5"/>
  <c r="F24" i="5"/>
  <c r="E24" i="5"/>
  <c r="E26" i="5" s="1"/>
  <c r="D24" i="5"/>
  <c r="D26" i="5" s="1"/>
  <c r="H17" i="5"/>
  <c r="A2" i="5"/>
  <c r="G32" i="3"/>
  <c r="F32" i="3"/>
  <c r="E32" i="3"/>
  <c r="H32" i="3" s="1"/>
  <c r="D32" i="3"/>
  <c r="G31" i="3"/>
  <c r="F31" i="3"/>
  <c r="E31" i="3"/>
  <c r="D31" i="3"/>
  <c r="H31" i="3" s="1"/>
  <c r="F26" i="3"/>
  <c r="F27" i="3" s="1"/>
  <c r="G24" i="3"/>
  <c r="G26" i="3" s="1"/>
  <c r="F24" i="3"/>
  <c r="E24" i="3"/>
  <c r="E26" i="3" s="1"/>
  <c r="D24" i="3"/>
  <c r="D26" i="3" s="1"/>
  <c r="H17" i="3"/>
  <c r="A2" i="3"/>
  <c r="G23" i="2"/>
  <c r="C21" i="2"/>
  <c r="G18" i="2"/>
  <c r="F18" i="2"/>
  <c r="E18" i="2"/>
  <c r="D18" i="2"/>
  <c r="C18" i="2"/>
  <c r="C17" i="2"/>
  <c r="C19" i="2" s="1"/>
  <c r="C24" i="2" s="1"/>
  <c r="C16" i="2"/>
  <c r="C15" i="2"/>
  <c r="E8" i="2"/>
  <c r="D8" i="2"/>
  <c r="D7" i="2"/>
  <c r="D16" i="2" s="1"/>
  <c r="D6" i="2"/>
  <c r="D15" i="2" s="1"/>
  <c r="D17" i="2" s="1"/>
  <c r="D19" i="2" s="1"/>
  <c r="D24" i="2" s="1"/>
  <c r="B12" i="1"/>
  <c r="B10" i="1"/>
  <c r="B9" i="1"/>
  <c r="B11" i="1" s="1"/>
  <c r="B13" i="1" s="1"/>
  <c r="E3" i="1" s="1"/>
  <c r="C18" i="7" l="1"/>
  <c r="C17" i="7"/>
  <c r="D27" i="5"/>
  <c r="D28" i="5"/>
  <c r="H26" i="5"/>
  <c r="F33" i="5"/>
  <c r="F34" i="5" s="1"/>
  <c r="F29" i="5"/>
  <c r="E27" i="5"/>
  <c r="E28" i="5"/>
  <c r="F28" i="5"/>
  <c r="G29" i="5"/>
  <c r="G36" i="5" s="1"/>
  <c r="G37" i="5" s="1"/>
  <c r="G28" i="3"/>
  <c r="G27" i="3"/>
  <c r="H26" i="3"/>
  <c r="D27" i="3"/>
  <c r="D28" i="3"/>
  <c r="E28" i="3"/>
  <c r="E27" i="3"/>
  <c r="F34" i="3"/>
  <c r="F33" i="3"/>
  <c r="F28" i="3"/>
  <c r="F29" i="3" s="1"/>
  <c r="F36" i="3" s="1"/>
  <c r="F37" i="3" s="1"/>
  <c r="F8" i="2"/>
  <c r="E7" i="2"/>
  <c r="E6" i="2"/>
  <c r="F6" i="2" s="1"/>
  <c r="G6" i="2" s="1"/>
  <c r="F36" i="5" l="1"/>
  <c r="F37" i="5" s="1"/>
  <c r="H28" i="5"/>
  <c r="D33" i="5"/>
  <c r="D29" i="5"/>
  <c r="H27" i="5"/>
  <c r="E33" i="5"/>
  <c r="E34" i="5" s="1"/>
  <c r="E29" i="5"/>
  <c r="H28" i="3"/>
  <c r="D33" i="3"/>
  <c r="D29" i="3"/>
  <c r="H27" i="3"/>
  <c r="G29" i="3"/>
  <c r="G33" i="3"/>
  <c r="G34" i="3" s="1"/>
  <c r="E33" i="3"/>
  <c r="E34" i="3" s="1"/>
  <c r="E29" i="3"/>
  <c r="E36" i="3" s="1"/>
  <c r="E37" i="3" s="1"/>
  <c r="E16" i="2"/>
  <c r="F7" i="2"/>
  <c r="F15" i="2"/>
  <c r="G8" i="2"/>
  <c r="G15" i="2" s="1"/>
  <c r="E15" i="2"/>
  <c r="E17" i="2" s="1"/>
  <c r="E19" i="2" s="1"/>
  <c r="E24" i="2" s="1"/>
  <c r="H33" i="5" l="1"/>
  <c r="D34" i="5"/>
  <c r="H34" i="5" s="1"/>
  <c r="H29" i="5"/>
  <c r="D36" i="5"/>
  <c r="E36" i="5"/>
  <c r="E37" i="5" s="1"/>
  <c r="H33" i="3"/>
  <c r="D34" i="3"/>
  <c r="H34" i="3" s="1"/>
  <c r="G36" i="3"/>
  <c r="G37" i="3" s="1"/>
  <c r="H29" i="3"/>
  <c r="D36" i="3"/>
  <c r="F16" i="2"/>
  <c r="G7" i="2"/>
  <c r="G16" i="2" s="1"/>
  <c r="G17" i="2" s="1"/>
  <c r="F17" i="2"/>
  <c r="F19" i="2" s="1"/>
  <c r="F24" i="2" s="1"/>
  <c r="D37" i="5" l="1"/>
  <c r="H36" i="5"/>
  <c r="H36" i="3"/>
  <c r="D37" i="3"/>
  <c r="G22" i="2"/>
  <c r="G19" i="2"/>
  <c r="G24" i="2" s="1"/>
  <c r="B26" i="2" s="1"/>
  <c r="H37" i="5" l="1"/>
  <c r="C20" i="5"/>
  <c r="H37" i="3"/>
  <c r="C20" i="3"/>
  <c r="L20" i="5" l="1"/>
  <c r="K20" i="5"/>
  <c r="L20" i="3"/>
  <c r="K20" i="3"/>
  <c r="E5" i="6" l="1" a="1"/>
  <c r="E5" i="6"/>
  <c r="F5" i="6"/>
  <c r="G5" i="6"/>
  <c r="H5" i="6" a="1"/>
  <c r="H5" i="6"/>
  <c r="I5" i="6"/>
  <c r="E6" i="6" a="1"/>
  <c r="E6" i="6"/>
  <c r="F6" i="6"/>
  <c r="G6" i="6"/>
  <c r="H6" i="6" a="1"/>
  <c r="H6" i="6"/>
  <c r="I6" i="6"/>
  <c r="E7" i="6" a="1"/>
  <c r="E7" i="6"/>
  <c r="F7" i="6"/>
  <c r="G7" i="6"/>
  <c r="H7" i="6" a="1"/>
  <c r="H7" i="6"/>
  <c r="I7" i="6"/>
  <c r="E8" i="6" a="1"/>
  <c r="E8" i="6"/>
  <c r="F8" i="6"/>
  <c r="G8" i="6"/>
  <c r="H8" i="6" a="1"/>
  <c r="H8" i="6"/>
  <c r="I8" i="6"/>
  <c r="E9" i="6" a="1"/>
  <c r="E9" i="6"/>
  <c r="F9" i="6"/>
  <c r="G9" i="6"/>
  <c r="H9" i="6" a="1"/>
  <c r="H9" i="6"/>
  <c r="I9" i="6"/>
  <c r="E10" i="6" a="1"/>
  <c r="E10" i="6"/>
  <c r="F10" i="6"/>
  <c r="G10" i="6"/>
  <c r="H10" i="6" a="1"/>
  <c r="H10" i="6"/>
  <c r="I10" i="6"/>
  <c r="E11" i="6" a="1"/>
  <c r="E11" i="6"/>
  <c r="F11" i="6"/>
  <c r="G11" i="6"/>
  <c r="H11" i="6" a="1"/>
  <c r="H11" i="6"/>
  <c r="I11" i="6"/>
  <c r="E12" i="6" a="1"/>
  <c r="E12" i="6"/>
  <c r="F12" i="6"/>
  <c r="G12" i="6"/>
  <c r="H12" i="6" a="1"/>
  <c r="H12" i="6"/>
  <c r="I12" i="6"/>
  <c r="E13" i="6" a="1"/>
  <c r="E13" i="6"/>
  <c r="F13" i="6"/>
  <c r="G13" i="6"/>
  <c r="H13" i="6" a="1"/>
  <c r="H13" i="6"/>
  <c r="I13" i="6"/>
  <c r="E14" i="6" a="1"/>
  <c r="E14" i="6"/>
  <c r="F14" i="6"/>
  <c r="G14" i="6"/>
  <c r="H14" i="6" a="1"/>
  <c r="H14" i="6"/>
  <c r="I14" i="6"/>
  <c r="E15" i="6" a="1"/>
  <c r="E15" i="6"/>
  <c r="F15" i="6"/>
  <c r="G15" i="6"/>
  <c r="H15" i="6" a="1"/>
  <c r="H15" i="6"/>
  <c r="I15" i="6"/>
  <c r="E16" i="6" a="1"/>
  <c r="E16" i="6"/>
  <c r="F16" i="6"/>
  <c r="G16" i="6"/>
  <c r="H16" i="6" a="1"/>
  <c r="H16" i="6"/>
  <c r="I16" i="6"/>
  <c r="E17" i="6" a="1"/>
  <c r="E17" i="6"/>
  <c r="F17" i="6"/>
  <c r="G17" i="6"/>
  <c r="H17" i="6" a="1"/>
  <c r="H17" i="6"/>
  <c r="I17" i="6"/>
  <c r="C1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ken.baker</author>
  </authors>
  <commentList>
    <comment ref="F20" authorId="0" shapeId="0" xr:uid="{1111D8DE-6B2A-4A6E-AE7B-C3F4F7204C93}">
      <text>
        <r>
          <rPr>
            <b/>
            <sz val="9"/>
            <color indexed="81"/>
            <rFont val="Tahoma"/>
            <family val="2"/>
          </rPr>
          <t>Base case value of profit recorded as a fixed number.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ken.baker</author>
  </authors>
  <commentList>
    <comment ref="F20" authorId="0" shapeId="0" xr:uid="{5AF964FC-3E26-4896-BE9E-5EAA5858939D}">
      <text>
        <r>
          <rPr>
            <b/>
            <sz val="9"/>
            <color indexed="81"/>
            <rFont val="Tahoma"/>
            <family val="2"/>
          </rPr>
          <t>Base case value of profit recorded as a fixed number.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Raju Balakrishnan</author>
  </authors>
  <commentList>
    <comment ref="C3" authorId="0" shapeId="0" xr:uid="{D6CB587B-8AA0-4FBE-B86B-7964BA51117D}">
      <text>
        <r>
          <rPr>
            <sz val="8"/>
            <color indexed="81"/>
            <rFont val="Tahoma"/>
            <family val="2"/>
          </rPr>
          <t>Three time estimates for each activity</t>
        </r>
      </text>
    </comment>
    <comment ref="F3" authorId="0" shapeId="0" xr:uid="{258E6685-F44C-4364-99C9-6EB718A94A78}">
      <text>
        <r>
          <rPr>
            <sz val="8"/>
            <color indexed="81"/>
            <rFont val="Tahoma"/>
            <family val="2"/>
          </rPr>
          <t xml:space="preserve">Column F = (Column C + 4*Column D + Column E)/6
</t>
        </r>
      </text>
    </comment>
    <comment ref="G3" authorId="0" shapeId="0" xr:uid="{CC11E634-A433-4F4A-AD6F-11BEF5768849}">
      <text>
        <r>
          <rPr>
            <sz val="8"/>
            <color indexed="81"/>
            <rFont val="Tahoma"/>
            <family val="2"/>
          </rPr>
          <t>Column G = [(Column E - Column C)/6]^2</t>
        </r>
      </text>
    </comment>
    <comment ref="H3" authorId="0" shapeId="0" xr:uid="{EF7FADE6-29AA-484A-A37C-69BBB506A610}">
      <text>
        <r>
          <rPr>
            <sz val="8"/>
            <color indexed="81"/>
            <rFont val="Tahoma"/>
            <family val="2"/>
          </rPr>
          <t>=SQRT(Column G)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<sst xmlns="http://schemas.openxmlformats.org/spreadsheetml/2006/main" count="270" uniqueCount="153">
  <si>
    <t>Assumptions</t>
  </si>
  <si>
    <t>Sensitvity Analysis</t>
  </si>
  <si>
    <t>Products sold</t>
  </si>
  <si>
    <t xml:space="preserve">Products sold </t>
  </si>
  <si>
    <t>Price</t>
  </si>
  <si>
    <t>Cost</t>
  </si>
  <si>
    <t>Store Rent</t>
  </si>
  <si>
    <t>Payroll</t>
  </si>
  <si>
    <t>Profit/Loss</t>
  </si>
  <si>
    <t>Revenue</t>
  </si>
  <si>
    <t>Cost of sales</t>
  </si>
  <si>
    <t>Gross profit</t>
  </si>
  <si>
    <t>SG&amp;A*</t>
  </si>
  <si>
    <t xml:space="preserve">*Selling, general and admininistrative expenses </t>
  </si>
  <si>
    <t>Operating profit</t>
  </si>
  <si>
    <t>Is it worth investing in a real estate?</t>
  </si>
  <si>
    <t>Parameters</t>
  </si>
  <si>
    <t>Rate of increase</t>
  </si>
  <si>
    <t>Year 1</t>
  </si>
  <si>
    <t>Year 2</t>
  </si>
  <si>
    <t>Year 3</t>
  </si>
  <si>
    <t>Year 4</t>
  </si>
  <si>
    <t>Year 5</t>
  </si>
  <si>
    <r>
      <t>Cost / ft</t>
    </r>
    <r>
      <rPr>
        <vertAlign val="superscript"/>
        <sz val="11"/>
        <rFont val="Calibri"/>
        <family val="2"/>
        <scheme val="minor"/>
      </rPr>
      <t>2</t>
    </r>
  </si>
  <si>
    <t>Estate size</t>
  </si>
  <si>
    <r>
      <t>Rent / ft</t>
    </r>
    <r>
      <rPr>
        <vertAlign val="superscript"/>
        <sz val="11"/>
        <rFont val="Calibri"/>
        <family val="2"/>
        <scheme val="minor"/>
      </rPr>
      <t>2</t>
    </r>
  </si>
  <si>
    <r>
      <t>Operating expense / ft</t>
    </r>
    <r>
      <rPr>
        <vertAlign val="superscript"/>
        <sz val="11"/>
        <rFont val="Calibri"/>
        <family val="2"/>
        <scheme val="minor"/>
      </rPr>
      <t>2</t>
    </r>
  </si>
  <si>
    <t>Vacancy rate</t>
  </si>
  <si>
    <t>Percent financed</t>
  </si>
  <si>
    <t>Mortgage rate</t>
  </si>
  <si>
    <t>Sale multiple</t>
  </si>
  <si>
    <t>Cost of capital</t>
  </si>
  <si>
    <t>Cash Flow</t>
  </si>
  <si>
    <t>Gross income</t>
  </si>
  <si>
    <t>Operating expense</t>
  </si>
  <si>
    <t>Net operating income</t>
  </si>
  <si>
    <t>Interest cost</t>
  </si>
  <si>
    <t>Before-tax cash flow</t>
  </si>
  <si>
    <t>Down payment (at time 0)</t>
  </si>
  <si>
    <t>Sale price</t>
  </si>
  <si>
    <t>Mortgage cost</t>
  </si>
  <si>
    <t>End of year cash flows</t>
  </si>
  <si>
    <t>Net Present Value (NPV)</t>
  </si>
  <si>
    <t>Advertising Budget Model</t>
  </si>
  <si>
    <t>PARAMETERS</t>
  </si>
  <si>
    <t>Q1</t>
  </si>
  <si>
    <t>Q2</t>
  </si>
  <si>
    <t>Q3</t>
  </si>
  <si>
    <t>Q4</t>
  </si>
  <si>
    <t>Notes</t>
  </si>
  <si>
    <t>Accounting</t>
  </si>
  <si>
    <t>Seasonal</t>
  </si>
  <si>
    <t xml:space="preserve">Data analysis </t>
  </si>
  <si>
    <t>Sales Parameters</t>
  </si>
  <si>
    <t>Consultants</t>
  </si>
  <si>
    <t>Sales Expense</t>
  </si>
  <si>
    <t>Ad Budget</t>
  </si>
  <si>
    <t>Current budget</t>
  </si>
  <si>
    <t>DECISIONS</t>
  </si>
  <si>
    <t>Total</t>
  </si>
  <si>
    <t>Ad Expenditures</t>
  </si>
  <si>
    <t>sum</t>
  </si>
  <si>
    <t xml:space="preserve"> </t>
  </si>
  <si>
    <t>OUTPUTS</t>
  </si>
  <si>
    <t>Profit</t>
  </si>
  <si>
    <t>CALCULATIONS</t>
  </si>
  <si>
    <t>Quarter</t>
  </si>
  <si>
    <t>Units Sold</t>
  </si>
  <si>
    <t>given formula</t>
  </si>
  <si>
    <t>price*units</t>
  </si>
  <si>
    <t>Cost of Goods</t>
  </si>
  <si>
    <t>cost*units</t>
  </si>
  <si>
    <t>Gross Margin</t>
  </si>
  <si>
    <t>subtraction</t>
  </si>
  <si>
    <t>given</t>
  </si>
  <si>
    <t>Advertising</t>
  </si>
  <si>
    <t>decisions</t>
  </si>
  <si>
    <t>Overhead</t>
  </si>
  <si>
    <t>rate*revenue</t>
  </si>
  <si>
    <t>Total Fixed Cost</t>
  </si>
  <si>
    <t>GM - TFC</t>
  </si>
  <si>
    <t>Profit Margin</t>
  </si>
  <si>
    <t>pct of revenue</t>
  </si>
  <si>
    <t>Current price</t>
  </si>
  <si>
    <t>OHD rate</t>
  </si>
  <si>
    <t>Change</t>
  </si>
  <si>
    <t>Percent Change</t>
  </si>
  <si>
    <t>Base case</t>
  </si>
  <si>
    <t>Scenario Summary</t>
  </si>
  <si>
    <t>Current Values:</t>
  </si>
  <si>
    <t>Optimistic</t>
  </si>
  <si>
    <t>Pessimistic</t>
  </si>
  <si>
    <t>Created by Artemis Maddox on 2/12/2022</t>
  </si>
  <si>
    <t>Changing Cells:</t>
  </si>
  <si>
    <t>$C$6</t>
  </si>
  <si>
    <t>$C$7</t>
  </si>
  <si>
    <t>Result Cells:</t>
  </si>
  <si>
    <t>$C$20</t>
  </si>
  <si>
    <t>Notes:  Current Values column represents values of changing cells at</t>
  </si>
  <si>
    <t>time Scenario Summary Report was created.  Changing cells for each</t>
  </si>
  <si>
    <t>scenario are highlighted in gray.</t>
  </si>
  <si>
    <t>Activity</t>
  </si>
  <si>
    <t>Description</t>
  </si>
  <si>
    <t>Predecessor</t>
  </si>
  <si>
    <t>Time</t>
  </si>
  <si>
    <t>EST</t>
  </si>
  <si>
    <t>EFT</t>
  </si>
  <si>
    <t>LST</t>
  </si>
  <si>
    <t>LFT</t>
  </si>
  <si>
    <t>Slack</t>
  </si>
  <si>
    <t>A</t>
  </si>
  <si>
    <t>Problem Statement</t>
  </si>
  <si>
    <t>B</t>
  </si>
  <si>
    <t>Data Collection</t>
  </si>
  <si>
    <t>C</t>
  </si>
  <si>
    <t xml:space="preserve">Assumption Specification </t>
  </si>
  <si>
    <t>D</t>
  </si>
  <si>
    <t xml:space="preserve">Structure Formulation </t>
  </si>
  <si>
    <t>E</t>
  </si>
  <si>
    <t>Problem Solving</t>
  </si>
  <si>
    <t>F</t>
  </si>
  <si>
    <t>Model Analyzing</t>
  </si>
  <si>
    <t>G</t>
  </si>
  <si>
    <t>Decision Making</t>
  </si>
  <si>
    <t>H</t>
  </si>
  <si>
    <t>Workbook Development</t>
  </si>
  <si>
    <t>C,E,F,G</t>
  </si>
  <si>
    <t>I</t>
  </si>
  <si>
    <t>Assessment</t>
  </si>
  <si>
    <t>J</t>
  </si>
  <si>
    <t>Analysis</t>
  </si>
  <si>
    <t>K</t>
  </si>
  <si>
    <t>Correction</t>
  </si>
  <si>
    <t>L</t>
  </si>
  <si>
    <t>Improvement</t>
  </si>
  <si>
    <t>M</t>
  </si>
  <si>
    <t>Implementation</t>
  </si>
  <si>
    <t>K,L</t>
  </si>
  <si>
    <t>PERT Time Estimates (in Weeks) for Critical Path</t>
  </si>
  <si>
    <t>Optimistic time (a)</t>
  </si>
  <si>
    <t>Most likely time (m)</t>
  </si>
  <si>
    <t>Pessimistic time (b)</t>
  </si>
  <si>
    <t>Expected time</t>
  </si>
  <si>
    <t>Variance</t>
  </si>
  <si>
    <t>Standard deviation</t>
  </si>
  <si>
    <t>Project mean length =</t>
  </si>
  <si>
    <t>weeks</t>
  </si>
  <si>
    <t>Project variance =</t>
  </si>
  <si>
    <t>Project standard deviation =</t>
  </si>
  <si>
    <t>P(Finish &lt;= 40 weeks) =</t>
  </si>
  <si>
    <t>P(Finish &gt; 50 weeks) =</t>
  </si>
  <si>
    <t>Spreadsheet Modeling Project</t>
  </si>
  <si>
    <t>Note: Predecessor and Time are adjustable, the spreadsheet will recalculate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</si>
</sst>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"/>
    <numFmt numFmtId="165" formatCode="&quot;$&quot;#,##0.00"/>
    <numFmt numFmtId="166" formatCode="0.0"/>
    <numFmt numFmtId="167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Arial"/>
      <family val="2"/>
    </font>
    <font>
      <sz val="9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6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5" fontId="3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/>
    <xf numFmtId="7" fontId="2" fillId="0" borderId="0" xfId="0" applyNumberFormat="1" applyFont="1"/>
    <xf numFmtId="0" fontId="2" fillId="0" borderId="7" xfId="0" applyFont="1" applyBorder="1"/>
    <xf numFmtId="0" fontId="2" fillId="0" borderId="8" xfId="0" applyFont="1" applyBorder="1"/>
    <xf numFmtId="5" fontId="2" fillId="0" borderId="9" xfId="0" applyNumberFormat="1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5" fontId="2" fillId="2" borderId="11" xfId="0" applyNumberFormat="1" applyFont="1" applyFill="1" applyBorder="1"/>
    <xf numFmtId="5" fontId="2" fillId="2" borderId="12" xfId="0" applyNumberFormat="1" applyFont="1" applyFill="1" applyBorder="1"/>
    <xf numFmtId="5" fontId="2" fillId="2" borderId="13" xfId="0" applyNumberFormat="1" applyFont="1" applyFill="1" applyBorder="1"/>
    <xf numFmtId="5" fontId="2" fillId="0" borderId="0" xfId="0" applyNumberFormat="1" applyFont="1"/>
    <xf numFmtId="0" fontId="3" fillId="0" borderId="0" xfId="0" applyFont="1" applyAlignment="1">
      <alignment horizontal="right"/>
    </xf>
    <xf numFmtId="5" fontId="2" fillId="3" borderId="9" xfId="0" applyNumberFormat="1" applyFont="1" applyFill="1" applyBorder="1"/>
    <xf numFmtId="10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7" xfId="0" applyFont="1" applyBorder="1"/>
    <xf numFmtId="1" fontId="3" fillId="0" borderId="7" xfId="0" applyNumberFormat="1" applyFont="1" applyBorder="1"/>
    <xf numFmtId="10" fontId="3" fillId="0" borderId="4" xfId="0" applyNumberFormat="1" applyFont="1" applyBorder="1"/>
    <xf numFmtId="10" fontId="3" fillId="0" borderId="10" xfId="0" applyNumberFormat="1" applyFont="1" applyBorder="1"/>
    <xf numFmtId="5" fontId="2" fillId="0" borderId="13" xfId="0" applyNumberFormat="1" applyFont="1" applyBorder="1"/>
    <xf numFmtId="5" fontId="3" fillId="0" borderId="0" xfId="0" applyNumberFormat="1" applyFont="1"/>
    <xf numFmtId="10" fontId="3" fillId="0" borderId="0" xfId="0" applyNumberFormat="1" applyFont="1"/>
    <xf numFmtId="0" fontId="7" fillId="4" borderId="14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right"/>
    </xf>
    <xf numFmtId="0" fontId="9" fillId="5" borderId="0" xfId="0" applyFont="1" applyFill="1" applyAlignment="1">
      <alignment horizontal="left"/>
    </xf>
    <xf numFmtId="0" fontId="10" fillId="0" borderId="0" xfId="0" applyFont="1" applyAlignment="1">
      <alignment vertical="top" wrapText="1"/>
    </xf>
    <xf numFmtId="0" fontId="11" fillId="5" borderId="12" xfId="0" applyFont="1" applyFill="1" applyBorder="1" applyAlignment="1">
      <alignment horizontal="left"/>
    </xf>
    <xf numFmtId="0" fontId="0" fillId="0" borderId="12" xfId="0" applyBorder="1"/>
    <xf numFmtId="7" fontId="0" fillId="0" borderId="0" xfId="0" applyNumberFormat="1"/>
    <xf numFmtId="7" fontId="0" fillId="6" borderId="0" xfId="0" applyNumberFormat="1" applyFill="1"/>
    <xf numFmtId="0" fontId="9" fillId="5" borderId="15" xfId="0" applyFont="1" applyFill="1" applyBorder="1" applyAlignment="1">
      <alignment horizontal="left"/>
    </xf>
    <xf numFmtId="5" fontId="0" fillId="0" borderId="15" xfId="0" applyNumberFormat="1" applyBorder="1"/>
    <xf numFmtId="0" fontId="12" fillId="0" borderId="1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15" fillId="0" borderId="14" xfId="0" applyFont="1" applyBorder="1"/>
    <xf numFmtId="0" fontId="14" fillId="0" borderId="0" xfId="0" applyFont="1"/>
    <xf numFmtId="0" fontId="12" fillId="0" borderId="0" xfId="0" applyFont="1"/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9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7" borderId="20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166" fontId="14" fillId="8" borderId="20" xfId="0" applyNumberFormat="1" applyFont="1" applyFill="1" applyBorder="1" applyAlignment="1">
      <alignment horizontal="center"/>
    </xf>
    <xf numFmtId="2" fontId="14" fillId="8" borderId="21" xfId="0" applyNumberFormat="1" applyFont="1" applyFill="1" applyBorder="1" applyAlignment="1">
      <alignment horizontal="center"/>
    </xf>
    <xf numFmtId="2" fontId="14" fillId="8" borderId="22" xfId="0" applyNumberFormat="1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4" fillId="7" borderId="24" xfId="0" applyFont="1" applyFill="1" applyBorder="1" applyAlignment="1">
      <alignment horizontal="center"/>
    </xf>
    <xf numFmtId="0" fontId="14" fillId="7" borderId="25" xfId="0" applyFont="1" applyFill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7" borderId="27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center"/>
    </xf>
    <xf numFmtId="0" fontId="14" fillId="7" borderId="29" xfId="0" applyFont="1" applyFill="1" applyBorder="1" applyAlignment="1">
      <alignment horizontal="center"/>
    </xf>
    <xf numFmtId="0" fontId="14" fillId="0" borderId="30" xfId="0" applyFont="1" applyBorder="1"/>
    <xf numFmtId="2" fontId="0" fillId="9" borderId="14" xfId="0" applyNumberFormat="1" applyFill="1" applyBorder="1" applyAlignment="1">
      <alignment horizontal="center"/>
    </xf>
    <xf numFmtId="0" fontId="14" fillId="9" borderId="31" xfId="0" applyFont="1" applyFill="1" applyBorder="1"/>
    <xf numFmtId="0" fontId="0" fillId="0" borderId="19" xfId="0" applyBorder="1"/>
    <xf numFmtId="2" fontId="14" fillId="9" borderId="0" xfId="0" applyNumberFormat="1" applyFont="1" applyFill="1" applyAlignment="1">
      <alignment horizontal="center"/>
    </xf>
    <xf numFmtId="0" fontId="14" fillId="9" borderId="32" xfId="0" applyFont="1" applyFill="1" applyBorder="1"/>
    <xf numFmtId="0" fontId="14" fillId="0" borderId="19" xfId="0" applyFont="1" applyBorder="1"/>
    <xf numFmtId="167" fontId="14" fillId="9" borderId="0" xfId="0" applyNumberFormat="1" applyFont="1" applyFill="1" applyAlignment="1">
      <alignment horizontal="center"/>
    </xf>
    <xf numFmtId="0" fontId="14" fillId="0" borderId="26" xfId="0" applyFont="1" applyBorder="1"/>
    <xf numFmtId="0" fontId="0" fillId="0" borderId="15" xfId="0" applyBorder="1"/>
    <xf numFmtId="167" fontId="14" fillId="9" borderId="15" xfId="0" applyNumberFormat="1" applyFont="1" applyFill="1" applyBorder="1" applyAlignment="1">
      <alignment horizontal="center"/>
    </xf>
    <xf numFmtId="0" fontId="14" fillId="9" borderId="33" xfId="0" applyFont="1" applyFill="1" applyBorder="1"/>
    <xf numFmtId="0" fontId="16" fillId="0" borderId="0" xfId="0" applyFont="1"/>
  </cellXfs>
  <cellStyles count="1">
    <cellStyle name="Normal" xfId="0" builtinId="0"/>
  </cellStyles>
  <dxfs count="4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48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CB_00000000000000000000000000000000" hidden="1">
          <a:extLst>
            <a:ext uri="{FF2B5EF4-FFF2-40B4-BE49-F238E27FC236}">
              <a16:creationId xmlns:a16="http://schemas.microsoft.com/office/drawing/2014/main" id="{CAFA023E-FF35-4053-BE40-A22340AA9D3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CB_00000000000000000000000000000001" hidden="1">
          <a:extLst>
            <a:ext uri="{FF2B5EF4-FFF2-40B4-BE49-F238E27FC236}">
              <a16:creationId xmlns:a16="http://schemas.microsoft.com/office/drawing/2014/main" id="{FCFE5965-BD3F-40DD-B7E1-997BCABC2E4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CB_00000000000000000000000000000003" hidden="1">
          <a:extLst>
            <a:ext uri="{FF2B5EF4-FFF2-40B4-BE49-F238E27FC236}">
              <a16:creationId xmlns:a16="http://schemas.microsoft.com/office/drawing/2014/main" id="{2F00F944-DCDA-4135-9F8B-63D84649009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18</xdr:row>
      <xdr:rowOff>66675</xdr:rowOff>
    </xdr:from>
    <xdr:to>
      <xdr:col>8</xdr:col>
      <xdr:colOff>15875</xdr:colOff>
      <xdr:row>22</xdr:row>
      <xdr:rowOff>82550</xdr:rowOff>
    </xdr:to>
    <xdr:sp macro="" textlink="">
      <xdr:nvSpPr>
        <xdr:cNvPr id="3" name="Note" hidden="1">
          <a:extLst>
            <a:ext uri="{FF2B5EF4-FFF2-40B4-BE49-F238E27FC236}">
              <a16:creationId xmlns:a16="http://schemas.microsoft.com/office/drawing/2014/main" id="{F1CEC7C5-1762-4920-9F27-A7FD77743D15}"/>
            </a:ext>
          </a:extLst>
        </xdr:cNvPr>
        <xdr:cNvSpPr txBox="1">
          <a:spLocks noChangeArrowheads="1"/>
        </xdr:cNvSpPr>
      </xdr:nvSpPr>
      <xdr:spPr bwMode="auto">
        <a:xfrm>
          <a:off x="2292350" y="3032125"/>
          <a:ext cx="24987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Note: You can adjust the predecessors in column D and activity times in column E.  All dependent chnages will be made automatically. </a:t>
          </a:r>
        </a:p>
      </xdr:txBody>
    </xdr:sp>
    <xdr:clientData/>
  </xdr:twoCellAnchor>
  <xdr:twoCellAnchor editAs="oneCell">
    <xdr:from>
      <xdr:col>2</xdr:col>
      <xdr:colOff>628650</xdr:colOff>
      <xdr:row>18</xdr:row>
      <xdr:rowOff>66675</xdr:rowOff>
    </xdr:from>
    <xdr:to>
      <xdr:col>8</xdr:col>
      <xdr:colOff>15875</xdr:colOff>
      <xdr:row>22</xdr:row>
      <xdr:rowOff>101600</xdr:rowOff>
    </xdr:to>
    <xdr:sp macro="" textlink="">
      <xdr:nvSpPr>
        <xdr:cNvPr id="6" name="Note" hidden="1">
          <a:extLst>
            <a:ext uri="{FF2B5EF4-FFF2-40B4-BE49-F238E27FC236}">
              <a16:creationId xmlns:a16="http://schemas.microsoft.com/office/drawing/2014/main" id="{DB52419E-EFC3-4CAF-BDF6-7DA7957438BB}"/>
            </a:ext>
          </a:extLst>
        </xdr:cNvPr>
        <xdr:cNvSpPr txBox="1">
          <a:spLocks noChangeArrowheads="1"/>
        </xdr:cNvSpPr>
      </xdr:nvSpPr>
      <xdr:spPr bwMode="auto">
        <a:xfrm>
          <a:off x="2292350" y="3032125"/>
          <a:ext cx="24987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Note: You can adjust the predecessors in column D and activity times in column E.  All dependent chnages will be made automatically.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5375-4C30-487B-B357-76FA35DA1116}">
  <dimension ref="A1:J13"/>
  <sheetViews>
    <sheetView workbookViewId="0">
      <selection activeCell="D23" sqref="D23"/>
    </sheetView>
  </sheetViews>
  <sheetFormatPr defaultRowHeight="14.5" x14ac:dyDescent="0.35"/>
  <cols>
    <col min="1" max="1" width="14.08984375" bestFit="1" customWidth="1"/>
    <col min="3" max="3" width="1.90625" customWidth="1"/>
  </cols>
  <sheetData>
    <row r="1" spans="1:10" x14ac:dyDescent="0.35">
      <c r="A1" s="2" t="s">
        <v>0</v>
      </c>
      <c r="D1" s="2" t="s">
        <v>1</v>
      </c>
    </row>
    <row r="2" spans="1:10" x14ac:dyDescent="0.35">
      <c r="A2" t="s">
        <v>2</v>
      </c>
      <c r="B2" s="3">
        <v>1000</v>
      </c>
      <c r="F2" t="s">
        <v>3</v>
      </c>
    </row>
    <row r="3" spans="1:10" x14ac:dyDescent="0.35">
      <c r="A3" t="s">
        <v>4</v>
      </c>
      <c r="B3" s="1">
        <v>150</v>
      </c>
      <c r="D3" t="s">
        <v>4</v>
      </c>
      <c r="E3" s="1">
        <f>B13</f>
        <v>40000</v>
      </c>
      <c r="F3">
        <v>600</v>
      </c>
      <c r="G3">
        <v>800</v>
      </c>
      <c r="H3">
        <v>1000</v>
      </c>
      <c r="I3">
        <v>1200</v>
      </c>
      <c r="J3">
        <v>1400</v>
      </c>
    </row>
    <row r="4" spans="1:10" x14ac:dyDescent="0.35">
      <c r="A4" t="s">
        <v>5</v>
      </c>
      <c r="B4" s="1">
        <v>50</v>
      </c>
      <c r="E4" s="4">
        <v>170</v>
      </c>
      <c r="F4" s="5">
        <v>12000</v>
      </c>
      <c r="G4" s="6">
        <v>36000</v>
      </c>
      <c r="H4" s="6">
        <v>60000</v>
      </c>
      <c r="I4" s="6">
        <v>84000</v>
      </c>
      <c r="J4" s="6">
        <v>108000</v>
      </c>
    </row>
    <row r="5" spans="1:10" x14ac:dyDescent="0.35">
      <c r="A5" t="s">
        <v>6</v>
      </c>
      <c r="B5" s="1">
        <v>10000</v>
      </c>
      <c r="E5" s="4">
        <v>160</v>
      </c>
      <c r="F5" s="7">
        <v>6000</v>
      </c>
      <c r="G5" s="2">
        <v>28000</v>
      </c>
      <c r="H5">
        <v>50000</v>
      </c>
      <c r="I5">
        <v>72000</v>
      </c>
      <c r="J5">
        <v>94000</v>
      </c>
    </row>
    <row r="6" spans="1:10" x14ac:dyDescent="0.35">
      <c r="A6" t="s">
        <v>7</v>
      </c>
      <c r="B6" s="1">
        <v>50000</v>
      </c>
      <c r="E6" s="4">
        <v>150</v>
      </c>
      <c r="F6" s="7">
        <v>0</v>
      </c>
      <c r="G6">
        <v>20000</v>
      </c>
      <c r="H6" s="2">
        <v>40000</v>
      </c>
      <c r="I6">
        <v>60000</v>
      </c>
      <c r="J6">
        <v>80000</v>
      </c>
    </row>
    <row r="7" spans="1:10" x14ac:dyDescent="0.35">
      <c r="E7" s="4">
        <v>140</v>
      </c>
      <c r="F7" s="7">
        <v>-6000</v>
      </c>
      <c r="G7">
        <v>12000</v>
      </c>
      <c r="H7">
        <v>30000</v>
      </c>
      <c r="I7" s="2">
        <v>48000</v>
      </c>
      <c r="J7">
        <v>66000</v>
      </c>
    </row>
    <row r="8" spans="1:10" x14ac:dyDescent="0.35">
      <c r="A8" s="2" t="s">
        <v>8</v>
      </c>
      <c r="E8" s="4">
        <v>130</v>
      </c>
      <c r="F8" s="7">
        <v>-12000</v>
      </c>
      <c r="G8">
        <v>4000</v>
      </c>
      <c r="H8">
        <v>20000</v>
      </c>
      <c r="I8">
        <v>36000</v>
      </c>
      <c r="J8" s="2">
        <v>52000</v>
      </c>
    </row>
    <row r="9" spans="1:10" x14ac:dyDescent="0.35">
      <c r="A9" t="s">
        <v>9</v>
      </c>
      <c r="B9" s="1">
        <f>B2*B3</f>
        <v>150000</v>
      </c>
    </row>
    <row r="10" spans="1:10" x14ac:dyDescent="0.35">
      <c r="A10" t="s">
        <v>10</v>
      </c>
      <c r="B10" s="8">
        <f>B2*B4</f>
        <v>50000</v>
      </c>
    </row>
    <row r="11" spans="1:10" x14ac:dyDescent="0.35">
      <c r="A11" t="s">
        <v>11</v>
      </c>
      <c r="B11" s="1">
        <f>B9-B10</f>
        <v>100000</v>
      </c>
    </row>
    <row r="12" spans="1:10" ht="15" thickBot="1" x14ac:dyDescent="0.4">
      <c r="A12" t="s">
        <v>12</v>
      </c>
      <c r="B12" s="9">
        <f>B5+B6</f>
        <v>60000</v>
      </c>
      <c r="C12" t="s">
        <v>13</v>
      </c>
    </row>
    <row r="13" spans="1:10" ht="15" thickTop="1" x14ac:dyDescent="0.35">
      <c r="A13" t="s">
        <v>14</v>
      </c>
      <c r="B13" s="1">
        <f>B11-B12</f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50FB-5C55-4C30-908C-936D6081628B}">
  <dimension ref="A1:G26"/>
  <sheetViews>
    <sheetView workbookViewId="0">
      <selection activeCell="A17" sqref="A17"/>
    </sheetView>
  </sheetViews>
  <sheetFormatPr defaultRowHeight="14.5" x14ac:dyDescent="0.35"/>
  <cols>
    <col min="1" max="1" width="21.36328125" customWidth="1"/>
    <col min="2" max="2" width="23.6328125" customWidth="1"/>
    <col min="3" max="3" width="13.81640625" customWidth="1"/>
    <col min="4" max="4" width="13.08984375" customWidth="1"/>
    <col min="5" max="5" width="12" customWidth="1"/>
    <col min="6" max="6" width="13.08984375" customWidth="1"/>
    <col min="7" max="7" width="14.453125" customWidth="1"/>
  </cols>
  <sheetData>
    <row r="1" spans="1:7" x14ac:dyDescent="0.35">
      <c r="A1" s="10" t="s">
        <v>15</v>
      </c>
      <c r="B1" s="11"/>
      <c r="C1" s="11"/>
      <c r="D1" s="11"/>
      <c r="E1" s="11"/>
      <c r="F1" s="11"/>
      <c r="G1" s="11"/>
    </row>
    <row r="2" spans="1:7" x14ac:dyDescent="0.35">
      <c r="A2" s="10"/>
      <c r="B2" s="11"/>
      <c r="C2" s="11"/>
      <c r="D2" s="11"/>
      <c r="E2" s="11"/>
      <c r="F2" s="11"/>
      <c r="G2" s="11"/>
    </row>
    <row r="3" spans="1:7" x14ac:dyDescent="0.35">
      <c r="A3" s="10" t="s">
        <v>16</v>
      </c>
      <c r="B3" s="10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</row>
    <row r="4" spans="1:7" ht="16.5" x14ac:dyDescent="0.35">
      <c r="A4" s="11" t="s">
        <v>23</v>
      </c>
      <c r="B4" s="11"/>
      <c r="C4" s="13">
        <v>90</v>
      </c>
      <c r="D4" s="11"/>
      <c r="E4" s="11"/>
      <c r="F4" s="11"/>
      <c r="G4" s="11"/>
    </row>
    <row r="5" spans="1:7" x14ac:dyDescent="0.35">
      <c r="A5" s="11" t="s">
        <v>24</v>
      </c>
      <c r="B5" s="11"/>
      <c r="C5" s="14">
        <v>200000</v>
      </c>
      <c r="D5" s="11"/>
      <c r="E5" s="11"/>
      <c r="F5" s="11"/>
      <c r="G5" s="11"/>
    </row>
    <row r="6" spans="1:7" ht="16.5" x14ac:dyDescent="0.35">
      <c r="A6" s="11" t="s">
        <v>25</v>
      </c>
      <c r="B6" s="15">
        <v>0.05</v>
      </c>
      <c r="C6" s="13">
        <v>15</v>
      </c>
      <c r="D6" s="16">
        <f>C6+(C6*B6)</f>
        <v>15.75</v>
      </c>
      <c r="E6" s="16">
        <f>D6+(D6*B6)</f>
        <v>16.537500000000001</v>
      </c>
      <c r="F6" s="16">
        <f>E6+(E6*B6)</f>
        <v>17.364375000000003</v>
      </c>
      <c r="G6" s="16">
        <f>F6+(F6*B6)</f>
        <v>18.232593750000003</v>
      </c>
    </row>
    <row r="7" spans="1:7" ht="16.5" x14ac:dyDescent="0.35">
      <c r="A7" s="11" t="s">
        <v>26</v>
      </c>
      <c r="B7" s="15">
        <v>0.06</v>
      </c>
      <c r="C7" s="13">
        <v>1.2</v>
      </c>
      <c r="D7" s="16">
        <f t="shared" ref="D7" si="0">C7+(C7*B7)</f>
        <v>1.272</v>
      </c>
      <c r="E7" s="16">
        <f t="shared" ref="E7" si="1">D7+(D7*B7)</f>
        <v>1.34832</v>
      </c>
      <c r="F7" s="16">
        <f t="shared" ref="F7" si="2">E7+(E7*B7)</f>
        <v>1.4292191999999999</v>
      </c>
      <c r="G7" s="16">
        <f t="shared" ref="G7" si="3">F7+(F7*B7)</f>
        <v>1.5149723519999998</v>
      </c>
    </row>
    <row r="8" spans="1:7" x14ac:dyDescent="0.35">
      <c r="A8" s="11" t="s">
        <v>27</v>
      </c>
      <c r="B8" s="15">
        <v>-0.04</v>
      </c>
      <c r="C8" s="15">
        <v>0.3</v>
      </c>
      <c r="D8" s="16">
        <f>C8+($B$8)</f>
        <v>0.26</v>
      </c>
      <c r="E8" s="16">
        <f t="shared" ref="E8:G8" si="4">D8+($B$8)</f>
        <v>0.22</v>
      </c>
      <c r="F8" s="16">
        <f t="shared" si="4"/>
        <v>0.18</v>
      </c>
      <c r="G8" s="16">
        <f t="shared" si="4"/>
        <v>0.13999999999999999</v>
      </c>
    </row>
    <row r="9" spans="1:7" x14ac:dyDescent="0.35">
      <c r="A9" s="11" t="s">
        <v>28</v>
      </c>
      <c r="B9" s="11"/>
      <c r="C9" s="15">
        <v>0.85</v>
      </c>
      <c r="D9" s="11"/>
      <c r="E9" s="11"/>
      <c r="F9" s="11"/>
      <c r="G9" s="11"/>
    </row>
    <row r="10" spans="1:7" x14ac:dyDescent="0.35">
      <c r="A10" s="11" t="s">
        <v>29</v>
      </c>
      <c r="B10" s="11"/>
      <c r="C10" s="15">
        <v>0.12</v>
      </c>
      <c r="D10" s="11"/>
      <c r="E10" s="11"/>
      <c r="F10" s="11"/>
      <c r="G10" s="11"/>
    </row>
    <row r="11" spans="1:7" x14ac:dyDescent="0.35">
      <c r="A11" s="11" t="s">
        <v>30</v>
      </c>
      <c r="B11" s="11"/>
      <c r="C11" s="17">
        <v>12</v>
      </c>
      <c r="D11" s="11"/>
      <c r="E11" s="11"/>
      <c r="F11" s="11"/>
      <c r="G11" s="11"/>
    </row>
    <row r="12" spans="1:7" x14ac:dyDescent="0.35">
      <c r="A12" s="11" t="s">
        <v>31</v>
      </c>
      <c r="B12" s="11"/>
      <c r="C12" s="15">
        <v>0.1</v>
      </c>
      <c r="D12" s="11"/>
      <c r="E12" s="11"/>
      <c r="F12" s="11"/>
      <c r="G12" s="11"/>
    </row>
    <row r="13" spans="1:7" x14ac:dyDescent="0.35">
      <c r="A13" s="10"/>
      <c r="B13" s="11"/>
      <c r="C13" s="11"/>
      <c r="D13" s="11"/>
      <c r="E13" s="11"/>
      <c r="F13" s="11"/>
      <c r="G13" s="11"/>
    </row>
    <row r="14" spans="1:7" x14ac:dyDescent="0.35">
      <c r="A14" s="10" t="s">
        <v>32</v>
      </c>
      <c r="B14" s="11"/>
      <c r="C14" s="12" t="s">
        <v>18</v>
      </c>
      <c r="D14" s="12" t="s">
        <v>19</v>
      </c>
      <c r="E14" s="12" t="s">
        <v>20</v>
      </c>
      <c r="F14" s="12" t="s">
        <v>21</v>
      </c>
      <c r="G14" s="12" t="s">
        <v>22</v>
      </c>
    </row>
    <row r="15" spans="1:7" x14ac:dyDescent="0.35">
      <c r="A15" s="10"/>
      <c r="B15" s="11" t="s">
        <v>33</v>
      </c>
      <c r="C15" s="14">
        <f>$C$5*(1-C8)*C6</f>
        <v>2100000</v>
      </c>
      <c r="D15" s="14">
        <f t="shared" ref="D15:G15" si="5">$C$5*(1-D8)*D6</f>
        <v>2331000</v>
      </c>
      <c r="E15" s="14">
        <f t="shared" si="5"/>
        <v>2579850</v>
      </c>
      <c r="F15" s="14">
        <f t="shared" si="5"/>
        <v>2847757.5000000005</v>
      </c>
      <c r="G15" s="14">
        <f t="shared" si="5"/>
        <v>3136006.1250000005</v>
      </c>
    </row>
    <row r="16" spans="1:7" x14ac:dyDescent="0.35">
      <c r="A16" s="10"/>
      <c r="B16" s="11" t="s">
        <v>34</v>
      </c>
      <c r="C16" s="14">
        <f>$C$5*C7</f>
        <v>240000</v>
      </c>
      <c r="D16" s="14">
        <f t="shared" ref="D16:G16" si="6">$C$5*D7</f>
        <v>254400</v>
      </c>
      <c r="E16" s="14">
        <f t="shared" si="6"/>
        <v>269664</v>
      </c>
      <c r="F16" s="14">
        <f t="shared" si="6"/>
        <v>285843.83999999997</v>
      </c>
      <c r="G16" s="14">
        <f t="shared" si="6"/>
        <v>302994.47039999993</v>
      </c>
    </row>
    <row r="17" spans="1:7" x14ac:dyDescent="0.35">
      <c r="A17" s="10"/>
      <c r="B17" s="11" t="s">
        <v>35</v>
      </c>
      <c r="C17" s="14">
        <f>C15-C16</f>
        <v>1860000</v>
      </c>
      <c r="D17" s="14">
        <f t="shared" ref="D17:G17" si="7">D15-D16</f>
        <v>2076600</v>
      </c>
      <c r="E17" s="14">
        <f t="shared" si="7"/>
        <v>2310186</v>
      </c>
      <c r="F17" s="14">
        <f t="shared" si="7"/>
        <v>2561913.6600000006</v>
      </c>
      <c r="G17" s="14">
        <f t="shared" si="7"/>
        <v>2833011.6546000005</v>
      </c>
    </row>
    <row r="18" spans="1:7" x14ac:dyDescent="0.35">
      <c r="A18" s="10"/>
      <c r="B18" s="11" t="s">
        <v>36</v>
      </c>
      <c r="C18" s="18">
        <f>-12*ISPMT((C10/12),1,360,(C5*C4*C9))</f>
        <v>1830900</v>
      </c>
      <c r="D18" s="18">
        <f>-12*ISPMT((C10/12),1,360,(C5*C4*C9))</f>
        <v>1830900</v>
      </c>
      <c r="E18" s="18">
        <f>-12*ISPMT((C10/12),1,360,(C5*C4*C9))</f>
        <v>1830900</v>
      </c>
      <c r="F18" s="18">
        <f>-12*ISPMT((C10/12),1,360,(C5*C4*C9))</f>
        <v>1830900</v>
      </c>
      <c r="G18" s="18">
        <f>-12*ISPMT((C10/12),1,360,(C5*C4*C9))</f>
        <v>1830900</v>
      </c>
    </row>
    <row r="19" spans="1:7" x14ac:dyDescent="0.35">
      <c r="A19" s="10"/>
      <c r="B19" s="11" t="s">
        <v>37</v>
      </c>
      <c r="C19" s="18">
        <f>C17-C18</f>
        <v>29100</v>
      </c>
      <c r="D19" s="18">
        <f t="shared" ref="D19:G19" si="8">D17-D18</f>
        <v>245700</v>
      </c>
      <c r="E19" s="18">
        <f t="shared" si="8"/>
        <v>479286</v>
      </c>
      <c r="F19" s="18">
        <f t="shared" si="8"/>
        <v>731013.66000000061</v>
      </c>
      <c r="G19" s="18">
        <f t="shared" si="8"/>
        <v>1002111.6546000005</v>
      </c>
    </row>
    <row r="20" spans="1:7" x14ac:dyDescent="0.35">
      <c r="A20" s="10"/>
      <c r="B20" s="11"/>
      <c r="C20" s="18"/>
      <c r="D20" s="18"/>
      <c r="E20" s="18"/>
      <c r="F20" s="18"/>
      <c r="G20" s="18"/>
    </row>
    <row r="21" spans="1:7" x14ac:dyDescent="0.35">
      <c r="A21" s="10"/>
      <c r="B21" s="11" t="s">
        <v>38</v>
      </c>
      <c r="C21" s="18">
        <f>C4*C5*(1-C9)</f>
        <v>2700000.0000000005</v>
      </c>
      <c r="D21" s="18"/>
      <c r="E21" s="18"/>
      <c r="F21" s="18"/>
      <c r="G21" s="18"/>
    </row>
    <row r="22" spans="1:7" x14ac:dyDescent="0.35">
      <c r="A22" s="10"/>
      <c r="B22" s="11" t="s">
        <v>39</v>
      </c>
      <c r="C22" s="18"/>
      <c r="D22" s="18"/>
      <c r="E22" s="18"/>
      <c r="F22" s="18"/>
      <c r="G22" s="18">
        <f>C11*G17</f>
        <v>33996139.855200008</v>
      </c>
    </row>
    <row r="23" spans="1:7" x14ac:dyDescent="0.35">
      <c r="A23" s="10"/>
      <c r="B23" s="11" t="s">
        <v>40</v>
      </c>
      <c r="C23" s="18"/>
      <c r="D23" s="18"/>
      <c r="E23" s="18"/>
      <c r="F23" s="18"/>
      <c r="G23" s="18">
        <f>C4*C5*C9</f>
        <v>15300000</v>
      </c>
    </row>
    <row r="24" spans="1:7" x14ac:dyDescent="0.35">
      <c r="A24" s="10"/>
      <c r="B24" s="11" t="s">
        <v>41</v>
      </c>
      <c r="C24" s="18">
        <f>C19</f>
        <v>29100</v>
      </c>
      <c r="D24" s="18">
        <f t="shared" ref="D24:F24" si="9">D19</f>
        <v>245700</v>
      </c>
      <c r="E24" s="18">
        <f t="shared" si="9"/>
        <v>479286</v>
      </c>
      <c r="F24" s="18">
        <f t="shared" si="9"/>
        <v>731013.66000000061</v>
      </c>
      <c r="G24" s="18">
        <f>G19+G22-G23</f>
        <v>19698251.509800009</v>
      </c>
    </row>
    <row r="25" spans="1:7" x14ac:dyDescent="0.35">
      <c r="A25" s="10"/>
      <c r="B25" s="11"/>
      <c r="C25" s="11"/>
      <c r="D25" s="11"/>
      <c r="E25" s="11"/>
      <c r="F25" s="11"/>
      <c r="G25" s="11"/>
    </row>
    <row r="26" spans="1:7" x14ac:dyDescent="0.35">
      <c r="A26" s="10" t="s">
        <v>42</v>
      </c>
      <c r="B26" s="19">
        <f>NPV(C12,C24:G24)-C21</f>
        <v>10619963.617611812</v>
      </c>
      <c r="C26" s="11"/>
      <c r="D26" s="11"/>
      <c r="E26" s="11"/>
      <c r="F26" s="11"/>
      <c r="G26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04B9-FB0F-48A0-823A-9FD17DE6745C}">
  <dimension ref="A1:IU65533"/>
  <sheetViews>
    <sheetView topLeftCell="D13" workbookViewId="0">
      <selection activeCell="J17" sqref="J17"/>
    </sheetView>
  </sheetViews>
  <sheetFormatPr defaultColWidth="8.81640625" defaultRowHeight="14.5" x14ac:dyDescent="0.35"/>
  <cols>
    <col min="1" max="1" width="15" style="11" customWidth="1"/>
    <col min="2" max="2" width="14" style="11" customWidth="1"/>
    <col min="3" max="3" width="10" style="11" customWidth="1"/>
    <col min="4" max="7" width="10.453125" style="11" customWidth="1"/>
    <col min="8" max="8" width="9.7265625" style="11" customWidth="1"/>
    <col min="9" max="9" width="3.453125" style="11" customWidth="1"/>
    <col min="10" max="10" width="14.453125" style="11" customWidth="1"/>
    <col min="11" max="16384" width="8.81640625" style="11"/>
  </cols>
  <sheetData>
    <row r="1" spans="1:10" x14ac:dyDescent="0.35">
      <c r="A1" s="10" t="s">
        <v>43</v>
      </c>
    </row>
    <row r="2" spans="1:10" x14ac:dyDescent="0.35">
      <c r="A2" s="20">
        <f ca="1">TODAY()</f>
        <v>44757</v>
      </c>
      <c r="B2" s="10"/>
      <c r="C2" s="10"/>
      <c r="D2" s="10"/>
      <c r="E2" s="10"/>
      <c r="F2" s="10"/>
      <c r="G2" s="10"/>
      <c r="H2" s="10"/>
    </row>
    <row r="3" spans="1:10" x14ac:dyDescent="0.35">
      <c r="A3" s="10"/>
      <c r="B3" s="10"/>
      <c r="C3" s="10"/>
      <c r="D3" s="10"/>
      <c r="E3" s="10"/>
      <c r="F3" s="10"/>
      <c r="G3" s="10"/>
      <c r="H3" s="10"/>
    </row>
    <row r="4" spans="1:10" x14ac:dyDescent="0.35">
      <c r="A4" s="10" t="s">
        <v>44</v>
      </c>
      <c r="B4" s="10"/>
      <c r="C4" s="10"/>
      <c r="D4" s="10"/>
      <c r="E4" s="10"/>
      <c r="F4" s="10"/>
      <c r="G4" s="10"/>
      <c r="H4" s="10"/>
    </row>
    <row r="5" spans="1:10" x14ac:dyDescent="0.35">
      <c r="A5" s="10"/>
      <c r="B5" s="21"/>
      <c r="C5" s="22"/>
      <c r="D5" s="23" t="s">
        <v>45</v>
      </c>
      <c r="E5" s="23" t="s">
        <v>46</v>
      </c>
      <c r="F5" s="23" t="s">
        <v>47</v>
      </c>
      <c r="G5" s="24" t="s">
        <v>48</v>
      </c>
      <c r="H5" s="10"/>
      <c r="J5" s="10" t="s">
        <v>49</v>
      </c>
    </row>
    <row r="6" spans="1:10" x14ac:dyDescent="0.35">
      <c r="A6" s="10"/>
      <c r="B6" s="25" t="s">
        <v>4</v>
      </c>
      <c r="C6" s="26">
        <v>40</v>
      </c>
      <c r="D6" s="10"/>
      <c r="E6" s="10"/>
      <c r="F6" s="10"/>
      <c r="G6" s="27"/>
      <c r="H6" s="10"/>
      <c r="J6" s="11" t="s">
        <v>83</v>
      </c>
    </row>
    <row r="7" spans="1:10" x14ac:dyDescent="0.35">
      <c r="A7" s="10"/>
      <c r="B7" s="25" t="s">
        <v>5</v>
      </c>
      <c r="C7" s="26">
        <v>25</v>
      </c>
      <c r="D7" s="10"/>
      <c r="E7" s="10"/>
      <c r="F7" s="10"/>
      <c r="G7" s="27"/>
      <c r="H7" s="10"/>
      <c r="J7" s="11" t="s">
        <v>50</v>
      </c>
    </row>
    <row r="8" spans="1:10" x14ac:dyDescent="0.35">
      <c r="A8" s="10"/>
      <c r="B8" s="25" t="s">
        <v>51</v>
      </c>
      <c r="C8" s="10"/>
      <c r="D8" s="10">
        <v>0.9</v>
      </c>
      <c r="E8" s="10">
        <v>1.1000000000000001</v>
      </c>
      <c r="F8" s="10">
        <v>0.8</v>
      </c>
      <c r="G8" s="27">
        <v>1.2</v>
      </c>
      <c r="H8" s="10"/>
      <c r="J8" s="11" t="s">
        <v>52</v>
      </c>
    </row>
    <row r="9" spans="1:10" x14ac:dyDescent="0.35">
      <c r="A9" s="10"/>
      <c r="B9" s="25" t="s">
        <v>84</v>
      </c>
      <c r="C9" s="10">
        <v>0.15</v>
      </c>
      <c r="D9" s="10"/>
      <c r="E9" s="10"/>
      <c r="F9" s="10"/>
      <c r="G9" s="27"/>
      <c r="H9" s="10"/>
      <c r="J9" s="11" t="s">
        <v>50</v>
      </c>
    </row>
    <row r="10" spans="1:10" x14ac:dyDescent="0.35">
      <c r="A10" s="10"/>
      <c r="B10" s="25" t="s">
        <v>53</v>
      </c>
      <c r="D10" s="10"/>
      <c r="E10" s="10"/>
      <c r="F10" s="10"/>
      <c r="G10" s="27"/>
      <c r="H10" s="10"/>
    </row>
    <row r="11" spans="1:10" x14ac:dyDescent="0.35">
      <c r="A11" s="10"/>
      <c r="B11" s="25"/>
      <c r="C11" s="10">
        <v>35</v>
      </c>
      <c r="D11" s="10"/>
      <c r="E11" s="10"/>
      <c r="F11" s="10"/>
      <c r="G11" s="27"/>
      <c r="H11" s="10"/>
      <c r="J11" s="11" t="s">
        <v>54</v>
      </c>
    </row>
    <row r="12" spans="1:10" x14ac:dyDescent="0.35">
      <c r="A12" s="10"/>
      <c r="B12" s="25"/>
      <c r="C12" s="10">
        <v>3000</v>
      </c>
      <c r="D12" s="10"/>
      <c r="E12" s="10"/>
      <c r="F12" s="10"/>
      <c r="G12" s="27"/>
      <c r="H12" s="10"/>
    </row>
    <row r="13" spans="1:10" x14ac:dyDescent="0.35">
      <c r="A13" s="10"/>
      <c r="B13" s="25" t="s">
        <v>55</v>
      </c>
      <c r="C13" s="10"/>
      <c r="D13" s="10">
        <v>8000</v>
      </c>
      <c r="E13" s="10">
        <v>8000</v>
      </c>
      <c r="F13" s="10">
        <v>9000</v>
      </c>
      <c r="G13" s="27">
        <v>9000</v>
      </c>
      <c r="H13" s="10"/>
      <c r="J13" s="11" t="s">
        <v>54</v>
      </c>
    </row>
    <row r="14" spans="1:10" x14ac:dyDescent="0.35">
      <c r="A14" s="10"/>
      <c r="B14" s="28" t="s">
        <v>56</v>
      </c>
      <c r="C14" s="29">
        <v>40000</v>
      </c>
      <c r="D14" s="30"/>
      <c r="E14" s="30"/>
      <c r="F14" s="30"/>
      <c r="G14" s="31"/>
      <c r="H14" s="10"/>
      <c r="J14" s="11" t="s">
        <v>57</v>
      </c>
    </row>
    <row r="15" spans="1:10" x14ac:dyDescent="0.35">
      <c r="A15" s="10"/>
      <c r="B15" s="10"/>
      <c r="C15" s="10"/>
      <c r="D15" s="10"/>
      <c r="E15" s="10"/>
      <c r="F15" s="10"/>
      <c r="G15" s="10"/>
      <c r="H15" s="10"/>
    </row>
    <row r="16" spans="1:10" x14ac:dyDescent="0.35">
      <c r="A16" s="10" t="s">
        <v>58</v>
      </c>
      <c r="B16" s="10"/>
      <c r="C16" s="10"/>
      <c r="D16" s="10"/>
      <c r="E16" s="10"/>
      <c r="F16" s="10"/>
      <c r="G16" s="10"/>
      <c r="H16" s="32" t="s">
        <v>59</v>
      </c>
    </row>
    <row r="17" spans="1:12" x14ac:dyDescent="0.35">
      <c r="A17" s="10"/>
      <c r="B17" s="33" t="s">
        <v>60</v>
      </c>
      <c r="C17" s="34"/>
      <c r="D17" s="35">
        <v>10000</v>
      </c>
      <c r="E17" s="35">
        <v>10000</v>
      </c>
      <c r="F17" s="36">
        <v>10000</v>
      </c>
      <c r="G17" s="37">
        <v>10000</v>
      </c>
      <c r="H17" s="38">
        <f>SUM(D17:G17)</f>
        <v>40000</v>
      </c>
      <c r="J17" s="11" t="s">
        <v>61</v>
      </c>
    </row>
    <row r="18" spans="1:12" x14ac:dyDescent="0.35">
      <c r="A18" s="10"/>
      <c r="B18" s="39" t="s">
        <v>62</v>
      </c>
      <c r="C18" s="10"/>
      <c r="D18" s="10"/>
      <c r="E18" s="10"/>
      <c r="F18" s="10" t="s">
        <v>62</v>
      </c>
      <c r="G18" s="10"/>
      <c r="H18" s="10"/>
    </row>
    <row r="19" spans="1:12" x14ac:dyDescent="0.35">
      <c r="A19" s="10" t="s">
        <v>63</v>
      </c>
      <c r="B19" s="10"/>
      <c r="C19" s="10"/>
      <c r="D19" s="10" t="s">
        <v>62</v>
      </c>
      <c r="E19" s="10"/>
      <c r="F19" s="10"/>
      <c r="G19" s="10"/>
      <c r="H19" s="10" t="s">
        <v>62</v>
      </c>
      <c r="K19" s="11" t="s">
        <v>85</v>
      </c>
      <c r="L19" s="11" t="s">
        <v>86</v>
      </c>
    </row>
    <row r="20" spans="1:12" x14ac:dyDescent="0.35">
      <c r="A20" s="10"/>
      <c r="B20" s="33" t="s">
        <v>64</v>
      </c>
      <c r="C20" s="40">
        <f>H36</f>
        <v>69662.103562491364</v>
      </c>
      <c r="D20" s="10"/>
      <c r="E20" s="33" t="s">
        <v>87</v>
      </c>
      <c r="F20" s="47">
        <v>69662.103562491364</v>
      </c>
      <c r="G20" s="10"/>
      <c r="H20" s="10" t="s">
        <v>62</v>
      </c>
      <c r="K20" s="48">
        <f>C20-F20</f>
        <v>0</v>
      </c>
      <c r="L20" s="49">
        <f>(C20-F20)/F20</f>
        <v>0</v>
      </c>
    </row>
    <row r="21" spans="1:12" x14ac:dyDescent="0.35">
      <c r="A21" s="10"/>
      <c r="B21" s="10"/>
      <c r="C21" s="38"/>
      <c r="D21" s="41"/>
      <c r="E21" s="10"/>
      <c r="F21" s="10"/>
      <c r="G21" s="10"/>
      <c r="H21" s="10"/>
    </row>
    <row r="22" spans="1:12" x14ac:dyDescent="0.35">
      <c r="A22" s="10" t="s">
        <v>65</v>
      </c>
      <c r="B22" s="10"/>
      <c r="C22" s="10"/>
      <c r="H22" s="10"/>
    </row>
    <row r="23" spans="1:12" x14ac:dyDescent="0.35">
      <c r="A23" s="10"/>
      <c r="B23" s="21" t="s">
        <v>66</v>
      </c>
      <c r="C23" s="22"/>
      <c r="D23" s="23" t="s">
        <v>45</v>
      </c>
      <c r="E23" s="23" t="s">
        <v>46</v>
      </c>
      <c r="F23" s="23" t="s">
        <v>47</v>
      </c>
      <c r="G23" s="23" t="s">
        <v>48</v>
      </c>
      <c r="H23" s="24" t="s">
        <v>59</v>
      </c>
    </row>
    <row r="24" spans="1:12" x14ac:dyDescent="0.35">
      <c r="A24" s="10"/>
      <c r="B24" s="25" t="s">
        <v>51</v>
      </c>
      <c r="C24" s="10"/>
      <c r="D24" s="42">
        <f>D8</f>
        <v>0.9</v>
      </c>
      <c r="E24" s="42">
        <f>E8</f>
        <v>1.1000000000000001</v>
      </c>
      <c r="F24" s="42">
        <f>F8</f>
        <v>0.8</v>
      </c>
      <c r="G24" s="42">
        <f>G8</f>
        <v>1.2</v>
      </c>
      <c r="H24" s="43"/>
    </row>
    <row r="25" spans="1:12" x14ac:dyDescent="0.35">
      <c r="A25" s="10"/>
      <c r="B25" s="25"/>
      <c r="C25" s="10"/>
      <c r="H25" s="43"/>
    </row>
    <row r="26" spans="1:12" x14ac:dyDescent="0.35">
      <c r="A26" s="10"/>
      <c r="B26" s="25" t="s">
        <v>67</v>
      </c>
      <c r="C26" s="10"/>
      <c r="D26" s="17">
        <f>$C$11*D24*($C$12+D17)^0.5</f>
        <v>3591.5525890622844</v>
      </c>
      <c r="E26" s="17">
        <f>$C$11*E24*($C$12+E17)^0.5</f>
        <v>4389.6753866316812</v>
      </c>
      <c r="F26" s="17">
        <f>$C$11*F24*($C$12+F17)^0.5</f>
        <v>3192.4911902775862</v>
      </c>
      <c r="G26" s="17">
        <f>$C$11*G24*($C$12+G17)^0.5</f>
        <v>4788.7367854163795</v>
      </c>
      <c r="H26" s="44">
        <f>SUM(D26:G26)</f>
        <v>15962.455951387932</v>
      </c>
      <c r="J26" s="11" t="s">
        <v>68</v>
      </c>
    </row>
    <row r="27" spans="1:12" x14ac:dyDescent="0.35">
      <c r="A27" s="10"/>
      <c r="B27" s="25" t="s">
        <v>9</v>
      </c>
      <c r="C27" s="10"/>
      <c r="D27" s="17">
        <f>$C$6*D26</f>
        <v>143662.10356249136</v>
      </c>
      <c r="E27" s="17">
        <f>$C$6*E26</f>
        <v>175587.01546526724</v>
      </c>
      <c r="F27" s="17">
        <f>$C$6*F26</f>
        <v>127699.64761110344</v>
      </c>
      <c r="G27" s="17">
        <f>$C$6*G26</f>
        <v>191549.47141665517</v>
      </c>
      <c r="H27" s="44">
        <f>SUM(D27:G27)</f>
        <v>638498.2380555172</v>
      </c>
      <c r="J27" s="11" t="s">
        <v>69</v>
      </c>
    </row>
    <row r="28" spans="1:12" x14ac:dyDescent="0.35">
      <c r="A28" s="10"/>
      <c r="B28" s="25" t="s">
        <v>70</v>
      </c>
      <c r="C28" s="10"/>
      <c r="D28" s="17">
        <f>$C$7*D26</f>
        <v>89788.814726557102</v>
      </c>
      <c r="E28" s="17">
        <f>$C$7*E26</f>
        <v>109741.88466579204</v>
      </c>
      <c r="F28" s="17">
        <f>$C$7*F26</f>
        <v>79812.27975693965</v>
      </c>
      <c r="G28" s="17">
        <f>$C$7*G26</f>
        <v>119718.41963540949</v>
      </c>
      <c r="H28" s="44">
        <f>SUM(D28:G28)</f>
        <v>399061.39878469828</v>
      </c>
      <c r="J28" s="11" t="s">
        <v>71</v>
      </c>
    </row>
    <row r="29" spans="1:12" x14ac:dyDescent="0.35">
      <c r="A29" s="10"/>
      <c r="B29" s="25" t="s">
        <v>72</v>
      </c>
      <c r="C29" s="10"/>
      <c r="D29" s="17">
        <f>D27-D28</f>
        <v>53873.288835934261</v>
      </c>
      <c r="E29" s="17">
        <f>E27-E28</f>
        <v>65845.130799475199</v>
      </c>
      <c r="F29" s="17">
        <f>F27-F28</f>
        <v>47887.367854163793</v>
      </c>
      <c r="G29" s="17">
        <f>G27-G28</f>
        <v>71831.051781245682</v>
      </c>
      <c r="H29" s="44">
        <f>SUM(D29:G29)</f>
        <v>239436.83927081892</v>
      </c>
      <c r="J29" s="11" t="s">
        <v>73</v>
      </c>
    </row>
    <row r="30" spans="1:12" x14ac:dyDescent="0.35">
      <c r="A30" s="10"/>
      <c r="B30" s="25"/>
      <c r="C30" s="10"/>
      <c r="D30" s="17"/>
      <c r="E30" s="17"/>
      <c r="F30" s="17"/>
      <c r="G30" s="17"/>
      <c r="H30" s="44"/>
    </row>
    <row r="31" spans="1:12" x14ac:dyDescent="0.35">
      <c r="A31" s="10"/>
      <c r="B31" s="25" t="s">
        <v>55</v>
      </c>
      <c r="C31" s="10"/>
      <c r="D31" s="17">
        <f>D13</f>
        <v>8000</v>
      </c>
      <c r="E31" s="17">
        <f>E13</f>
        <v>8000</v>
      </c>
      <c r="F31" s="17">
        <f>F13</f>
        <v>9000</v>
      </c>
      <c r="G31" s="17">
        <f>G13</f>
        <v>9000</v>
      </c>
      <c r="H31" s="44">
        <f>SUM(D31:G31)</f>
        <v>34000</v>
      </c>
      <c r="J31" s="11" t="s">
        <v>74</v>
      </c>
    </row>
    <row r="32" spans="1:12" x14ac:dyDescent="0.35">
      <c r="A32" s="10"/>
      <c r="B32" s="25" t="s">
        <v>75</v>
      </c>
      <c r="C32" s="10"/>
      <c r="D32" s="17">
        <f>D17</f>
        <v>10000</v>
      </c>
      <c r="E32" s="17">
        <f>E17</f>
        <v>10000</v>
      </c>
      <c r="F32" s="17">
        <f>F17</f>
        <v>10000</v>
      </c>
      <c r="G32" s="17">
        <f>G17</f>
        <v>10000</v>
      </c>
      <c r="H32" s="44">
        <f>SUM(D32:G32)</f>
        <v>40000</v>
      </c>
      <c r="J32" s="11" t="s">
        <v>76</v>
      </c>
    </row>
    <row r="33" spans="1:10" x14ac:dyDescent="0.35">
      <c r="A33" s="10"/>
      <c r="B33" s="25" t="s">
        <v>77</v>
      </c>
      <c r="C33" s="10"/>
      <c r="D33" s="17">
        <f>$C$9*D27</f>
        <v>21549.315534373705</v>
      </c>
      <c r="E33" s="17">
        <f>$C$9*E27</f>
        <v>26338.052319790084</v>
      </c>
      <c r="F33" s="17">
        <f>$C$9*F27</f>
        <v>19154.947141665514</v>
      </c>
      <c r="G33" s="17">
        <f>$C$9*G27</f>
        <v>28732.420712498275</v>
      </c>
      <c r="H33" s="44">
        <f>SUM(D33:G33)</f>
        <v>95774.735708327586</v>
      </c>
      <c r="J33" s="11" t="s">
        <v>78</v>
      </c>
    </row>
    <row r="34" spans="1:10" x14ac:dyDescent="0.35">
      <c r="A34" s="10"/>
      <c r="B34" s="25" t="s">
        <v>79</v>
      </c>
      <c r="C34" s="10"/>
      <c r="D34" s="17">
        <f>SUM(D31:D33)</f>
        <v>39549.315534373702</v>
      </c>
      <c r="E34" s="17">
        <f>SUM(E31:E33)</f>
        <v>44338.052319790084</v>
      </c>
      <c r="F34" s="17">
        <f>SUM(F31:F33)</f>
        <v>38154.947141665514</v>
      </c>
      <c r="G34" s="17">
        <f>SUM(G31:G33)</f>
        <v>47732.420712498279</v>
      </c>
      <c r="H34" s="44">
        <f>SUM(D34:G34)</f>
        <v>169774.73570832756</v>
      </c>
      <c r="J34" s="11" t="s">
        <v>61</v>
      </c>
    </row>
    <row r="35" spans="1:10" x14ac:dyDescent="0.35">
      <c r="A35" s="10"/>
      <c r="B35" s="25"/>
      <c r="C35" s="10"/>
      <c r="D35" s="17"/>
      <c r="E35" s="17"/>
      <c r="F35" s="17"/>
      <c r="G35" s="17"/>
      <c r="H35" s="44"/>
    </row>
    <row r="36" spans="1:10" x14ac:dyDescent="0.35">
      <c r="A36" s="10"/>
      <c r="B36" s="25" t="s">
        <v>64</v>
      </c>
      <c r="C36" s="10"/>
      <c r="D36" s="17">
        <f>D29-D34</f>
        <v>14323.97330156056</v>
      </c>
      <c r="E36" s="17">
        <f>E29-E34</f>
        <v>21507.078479685115</v>
      </c>
      <c r="F36" s="17">
        <f>F29-F34</f>
        <v>9732.4207124982786</v>
      </c>
      <c r="G36" s="17">
        <f>G29-G34</f>
        <v>24098.631068747403</v>
      </c>
      <c r="H36" s="44">
        <f>SUM(D36:G36)</f>
        <v>69662.103562491364</v>
      </c>
      <c r="J36" s="11" t="s">
        <v>80</v>
      </c>
    </row>
    <row r="37" spans="1:10" x14ac:dyDescent="0.35">
      <c r="A37" s="10"/>
      <c r="B37" s="28" t="s">
        <v>81</v>
      </c>
      <c r="C37" s="30"/>
      <c r="D37" s="45">
        <f>D36/D27</f>
        <v>9.9705997241852973E-2</v>
      </c>
      <c r="E37" s="45">
        <f>E36/E27</f>
        <v>0.12248672501606143</v>
      </c>
      <c r="F37" s="45">
        <f>F36/F27</f>
        <v>7.6213371724700413E-2</v>
      </c>
      <c r="G37" s="45">
        <f>G36/G27</f>
        <v>0.12580891448313355</v>
      </c>
      <c r="H37" s="46">
        <f>H36/H27</f>
        <v>0.10910304744871398</v>
      </c>
      <c r="J37" s="11" t="s">
        <v>82</v>
      </c>
    </row>
    <row r="65533" spans="255:255" x14ac:dyDescent="0.35">
      <c r="IU65533" s="1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B92E-6FBB-4D12-BD68-9659CEE63EE3}">
  <dimension ref="B1:F12"/>
  <sheetViews>
    <sheetView workbookViewId="0">
      <selection activeCell="D9" sqref="D9"/>
    </sheetView>
  </sheetViews>
  <sheetFormatPr defaultRowHeight="14.5" outlineLevelRow="1" outlineLevelCol="1" x14ac:dyDescent="0.35"/>
  <cols>
    <col min="3" max="3" width="6.453125" bestFit="1" customWidth="1"/>
    <col min="4" max="6" width="13.26953125" bestFit="1" customWidth="1" outlineLevel="1"/>
  </cols>
  <sheetData>
    <row r="1" spans="2:6" ht="15" thickBot="1" x14ac:dyDescent="0.4"/>
    <row r="2" spans="2:6" x14ac:dyDescent="0.35">
      <c r="B2" s="50" t="s">
        <v>88</v>
      </c>
      <c r="C2" s="50"/>
      <c r="D2" s="51"/>
      <c r="E2" s="51"/>
      <c r="F2" s="51"/>
    </row>
    <row r="3" spans="2:6" collapsed="1" x14ac:dyDescent="0.35">
      <c r="B3" s="52"/>
      <c r="C3" s="52"/>
      <c r="D3" s="53" t="s">
        <v>89</v>
      </c>
      <c r="E3" s="53" t="s">
        <v>90</v>
      </c>
      <c r="F3" s="53" t="s">
        <v>91</v>
      </c>
    </row>
    <row r="4" spans="2:6" ht="30" hidden="1" outlineLevel="1" x14ac:dyDescent="0.35">
      <c r="B4" s="54"/>
      <c r="C4" s="54"/>
      <c r="E4" s="55" t="s">
        <v>92</v>
      </c>
      <c r="F4" s="55" t="s">
        <v>92</v>
      </c>
    </row>
    <row r="5" spans="2:6" collapsed="1" x14ac:dyDescent="0.35">
      <c r="B5" s="56" t="s">
        <v>93</v>
      </c>
      <c r="C5" s="56"/>
      <c r="D5" s="57"/>
      <c r="E5" s="57"/>
      <c r="F5" s="57"/>
    </row>
    <row r="6" spans="2:6" outlineLevel="1" x14ac:dyDescent="0.35">
      <c r="B6" s="54"/>
      <c r="C6" s="54" t="s">
        <v>94</v>
      </c>
      <c r="D6" s="58">
        <v>40</v>
      </c>
      <c r="E6" s="59">
        <v>50</v>
      </c>
      <c r="F6" s="59">
        <v>35</v>
      </c>
    </row>
    <row r="7" spans="2:6" outlineLevel="1" x14ac:dyDescent="0.35">
      <c r="B7" s="54"/>
      <c r="C7" s="54" t="s">
        <v>95</v>
      </c>
      <c r="D7" s="58">
        <v>25</v>
      </c>
      <c r="E7" s="59">
        <v>20</v>
      </c>
      <c r="F7" s="59">
        <v>30</v>
      </c>
    </row>
    <row r="8" spans="2:6" x14ac:dyDescent="0.35">
      <c r="B8" s="56" t="s">
        <v>96</v>
      </c>
      <c r="C8" s="56"/>
      <c r="D8" s="57"/>
      <c r="E8" s="57"/>
      <c r="F8" s="57"/>
    </row>
    <row r="9" spans="2:6" ht="15" outlineLevel="1" thickBot="1" x14ac:dyDescent="0.4">
      <c r="B9" s="60"/>
      <c r="C9" s="60" t="s">
        <v>97</v>
      </c>
      <c r="D9" s="61">
        <v>69662.103562491393</v>
      </c>
      <c r="E9" s="61">
        <v>285155.258906228</v>
      </c>
      <c r="F9" s="61">
        <v>-77990.613987846998</v>
      </c>
    </row>
    <row r="10" spans="2:6" x14ac:dyDescent="0.35">
      <c r="B10" t="s">
        <v>98</v>
      </c>
    </row>
    <row r="11" spans="2:6" x14ac:dyDescent="0.35">
      <c r="B11" t="s">
        <v>99</v>
      </c>
    </row>
    <row r="12" spans="2:6" x14ac:dyDescent="0.35">
      <c r="B1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928-1E49-4D8F-81E4-9D87421BD0A2}">
  <dimension ref="A1:IU65533"/>
  <sheetViews>
    <sheetView topLeftCell="A16" workbookViewId="0">
      <selection sqref="A1:XFD1048576"/>
    </sheetView>
  </sheetViews>
  <sheetFormatPr defaultColWidth="8.81640625" defaultRowHeight="14.5" x14ac:dyDescent="0.35"/>
  <cols>
    <col min="1" max="1" width="15" style="11" customWidth="1"/>
    <col min="2" max="2" width="14" style="11" customWidth="1"/>
    <col min="3" max="3" width="10" style="11" customWidth="1"/>
    <col min="4" max="7" width="10.453125" style="11" customWidth="1"/>
    <col min="8" max="8" width="9.7265625" style="11" customWidth="1"/>
    <col min="9" max="9" width="3.453125" style="11" customWidth="1"/>
    <col min="10" max="10" width="14.453125" style="11" customWidth="1"/>
    <col min="11" max="16384" width="8.81640625" style="11"/>
  </cols>
  <sheetData>
    <row r="1" spans="1:10" x14ac:dyDescent="0.35">
      <c r="A1" s="10" t="s">
        <v>43</v>
      </c>
    </row>
    <row r="2" spans="1:10" x14ac:dyDescent="0.35">
      <c r="A2" s="20">
        <f ca="1">TODAY()</f>
        <v>44757</v>
      </c>
      <c r="B2" s="10"/>
      <c r="C2" s="10"/>
      <c r="D2" s="10"/>
      <c r="E2" s="10"/>
      <c r="F2" s="10"/>
      <c r="G2" s="10"/>
      <c r="H2" s="10"/>
    </row>
    <row r="3" spans="1:10" x14ac:dyDescent="0.35">
      <c r="A3" s="10"/>
      <c r="B3" s="10"/>
      <c r="C3" s="10"/>
      <c r="D3" s="10"/>
      <c r="E3" s="10"/>
      <c r="F3" s="10"/>
      <c r="G3" s="10"/>
      <c r="H3" s="10"/>
    </row>
    <row r="4" spans="1:10" x14ac:dyDescent="0.35">
      <c r="A4" s="10" t="s">
        <v>44</v>
      </c>
      <c r="B4" s="10"/>
      <c r="C4" s="10"/>
      <c r="D4" s="10"/>
      <c r="E4" s="10"/>
      <c r="F4" s="10"/>
      <c r="G4" s="10"/>
      <c r="H4" s="10"/>
    </row>
    <row r="5" spans="1:10" x14ac:dyDescent="0.35">
      <c r="A5" s="10"/>
      <c r="B5" s="21"/>
      <c r="C5" s="22"/>
      <c r="D5" s="23" t="s">
        <v>45</v>
      </c>
      <c r="E5" s="23" t="s">
        <v>46</v>
      </c>
      <c r="F5" s="23" t="s">
        <v>47</v>
      </c>
      <c r="G5" s="24" t="s">
        <v>48</v>
      </c>
      <c r="H5" s="10"/>
      <c r="J5" s="10" t="s">
        <v>49</v>
      </c>
    </row>
    <row r="6" spans="1:10" x14ac:dyDescent="0.35">
      <c r="A6" s="10"/>
      <c r="B6" s="25" t="s">
        <v>4</v>
      </c>
      <c r="C6" s="26">
        <v>40</v>
      </c>
      <c r="D6" s="10"/>
      <c r="E6" s="10"/>
      <c r="F6" s="10"/>
      <c r="G6" s="27"/>
      <c r="H6" s="10"/>
      <c r="J6" s="11" t="s">
        <v>83</v>
      </c>
    </row>
    <row r="7" spans="1:10" x14ac:dyDescent="0.35">
      <c r="A7" s="10"/>
      <c r="B7" s="25" t="s">
        <v>5</v>
      </c>
      <c r="C7" s="26">
        <v>29.364121897948557</v>
      </c>
      <c r="D7" s="10"/>
      <c r="E7" s="10"/>
      <c r="F7" s="10"/>
      <c r="G7" s="27"/>
      <c r="H7" s="10"/>
      <c r="J7" s="11" t="s">
        <v>50</v>
      </c>
    </row>
    <row r="8" spans="1:10" x14ac:dyDescent="0.35">
      <c r="A8" s="10"/>
      <c r="B8" s="25" t="s">
        <v>51</v>
      </c>
      <c r="C8" s="10"/>
      <c r="D8" s="10">
        <v>0.9</v>
      </c>
      <c r="E8" s="10">
        <v>1.1000000000000001</v>
      </c>
      <c r="F8" s="10">
        <v>0.8</v>
      </c>
      <c r="G8" s="27">
        <v>1.2</v>
      </c>
      <c r="H8" s="10"/>
      <c r="J8" s="11" t="s">
        <v>52</v>
      </c>
    </row>
    <row r="9" spans="1:10" x14ac:dyDescent="0.35">
      <c r="A9" s="10"/>
      <c r="B9" s="25" t="s">
        <v>84</v>
      </c>
      <c r="C9" s="10">
        <v>0.15</v>
      </c>
      <c r="D9" s="10"/>
      <c r="E9" s="10"/>
      <c r="F9" s="10"/>
      <c r="G9" s="27"/>
      <c r="H9" s="10"/>
      <c r="J9" s="11" t="s">
        <v>50</v>
      </c>
    </row>
    <row r="10" spans="1:10" x14ac:dyDescent="0.35">
      <c r="A10" s="10"/>
      <c r="B10" s="25" t="s">
        <v>53</v>
      </c>
      <c r="D10" s="10"/>
      <c r="E10" s="10"/>
      <c r="F10" s="10"/>
      <c r="G10" s="27"/>
      <c r="H10" s="10"/>
    </row>
    <row r="11" spans="1:10" x14ac:dyDescent="0.35">
      <c r="A11" s="10"/>
      <c r="B11" s="25"/>
      <c r="C11" s="10">
        <v>35</v>
      </c>
      <c r="D11" s="10"/>
      <c r="E11" s="10"/>
      <c r="F11" s="10"/>
      <c r="G11" s="27"/>
      <c r="H11" s="10"/>
      <c r="J11" s="11" t="s">
        <v>54</v>
      </c>
    </row>
    <row r="12" spans="1:10" x14ac:dyDescent="0.35">
      <c r="A12" s="10"/>
      <c r="B12" s="25"/>
      <c r="C12" s="10">
        <v>3000</v>
      </c>
      <c r="D12" s="10"/>
      <c r="E12" s="10"/>
      <c r="F12" s="10"/>
      <c r="G12" s="27"/>
      <c r="H12" s="10"/>
    </row>
    <row r="13" spans="1:10" x14ac:dyDescent="0.35">
      <c r="A13" s="10"/>
      <c r="B13" s="25" t="s">
        <v>55</v>
      </c>
      <c r="C13" s="10"/>
      <c r="D13" s="10">
        <v>8000</v>
      </c>
      <c r="E13" s="10">
        <v>8000</v>
      </c>
      <c r="F13" s="10">
        <v>9000</v>
      </c>
      <c r="G13" s="27">
        <v>9000</v>
      </c>
      <c r="H13" s="10"/>
      <c r="J13" s="11" t="s">
        <v>54</v>
      </c>
    </row>
    <row r="14" spans="1:10" x14ac:dyDescent="0.35">
      <c r="A14" s="10"/>
      <c r="B14" s="28" t="s">
        <v>56</v>
      </c>
      <c r="C14" s="29">
        <v>40000</v>
      </c>
      <c r="D14" s="30"/>
      <c r="E14" s="30"/>
      <c r="F14" s="30"/>
      <c r="G14" s="31"/>
      <c r="H14" s="10"/>
      <c r="J14" s="11" t="s">
        <v>57</v>
      </c>
    </row>
    <row r="15" spans="1:10" x14ac:dyDescent="0.35">
      <c r="A15" s="10"/>
      <c r="B15" s="10"/>
      <c r="C15" s="10"/>
      <c r="D15" s="10"/>
      <c r="E15" s="10"/>
      <c r="F15" s="10"/>
      <c r="G15" s="10"/>
      <c r="H15" s="10"/>
    </row>
    <row r="16" spans="1:10" x14ac:dyDescent="0.35">
      <c r="A16" s="10" t="s">
        <v>58</v>
      </c>
      <c r="B16" s="10"/>
      <c r="C16" s="10"/>
      <c r="D16" s="10"/>
      <c r="E16" s="10"/>
      <c r="F16" s="10"/>
      <c r="G16" s="10"/>
      <c r="H16" s="32" t="s">
        <v>59</v>
      </c>
    </row>
    <row r="17" spans="1:12" x14ac:dyDescent="0.35">
      <c r="A17" s="10"/>
      <c r="B17" s="33" t="s">
        <v>60</v>
      </c>
      <c r="C17" s="34"/>
      <c r="D17" s="35">
        <v>10000</v>
      </c>
      <c r="E17" s="35">
        <v>10000</v>
      </c>
      <c r="F17" s="36">
        <v>10000</v>
      </c>
      <c r="G17" s="37">
        <v>10000</v>
      </c>
      <c r="H17" s="38">
        <f>SUM(D17:G17)</f>
        <v>40000</v>
      </c>
      <c r="J17" s="11" t="s">
        <v>61</v>
      </c>
    </row>
    <row r="18" spans="1:12" x14ac:dyDescent="0.35">
      <c r="A18" s="10"/>
      <c r="B18" s="39" t="s">
        <v>62</v>
      </c>
      <c r="C18" s="10"/>
      <c r="D18" s="10"/>
      <c r="E18" s="10"/>
      <c r="F18" s="10" t="s">
        <v>62</v>
      </c>
      <c r="G18" s="10"/>
      <c r="H18" s="10"/>
    </row>
    <row r="19" spans="1:12" x14ac:dyDescent="0.35">
      <c r="A19" s="10" t="s">
        <v>63</v>
      </c>
      <c r="B19" s="10"/>
      <c r="C19" s="10"/>
      <c r="D19" s="10" t="s">
        <v>62</v>
      </c>
      <c r="E19" s="10"/>
      <c r="F19" s="10"/>
      <c r="G19" s="10"/>
      <c r="H19" s="10" t="s">
        <v>62</v>
      </c>
      <c r="K19" s="11" t="s">
        <v>85</v>
      </c>
      <c r="L19" s="11" t="s">
        <v>86</v>
      </c>
    </row>
    <row r="20" spans="1:12" x14ac:dyDescent="0.35">
      <c r="A20" s="10"/>
      <c r="B20" s="33" t="s">
        <v>64</v>
      </c>
      <c r="C20" s="40">
        <f>H36</f>
        <v>7.2759576141834259E-12</v>
      </c>
      <c r="D20" s="10"/>
      <c r="E20" s="33" t="s">
        <v>87</v>
      </c>
      <c r="F20" s="47">
        <v>69662.103562491364</v>
      </c>
      <c r="G20" s="10"/>
      <c r="H20" s="10" t="s">
        <v>62</v>
      </c>
      <c r="K20" s="48">
        <f>C20-F20</f>
        <v>-69662.103562491364</v>
      </c>
      <c r="L20" s="49">
        <f>(C20-F20)/F20</f>
        <v>-1</v>
      </c>
    </row>
    <row r="21" spans="1:12" x14ac:dyDescent="0.35">
      <c r="A21" s="10"/>
      <c r="B21" s="10"/>
      <c r="C21" s="38"/>
      <c r="D21" s="41"/>
      <c r="E21" s="10"/>
      <c r="F21" s="10"/>
      <c r="G21" s="10"/>
      <c r="H21" s="10"/>
    </row>
    <row r="22" spans="1:12" x14ac:dyDescent="0.35">
      <c r="A22" s="10" t="s">
        <v>65</v>
      </c>
      <c r="B22" s="10"/>
      <c r="C22" s="10"/>
      <c r="H22" s="10"/>
    </row>
    <row r="23" spans="1:12" x14ac:dyDescent="0.35">
      <c r="A23" s="10"/>
      <c r="B23" s="21" t="s">
        <v>66</v>
      </c>
      <c r="C23" s="22"/>
      <c r="D23" s="23" t="s">
        <v>45</v>
      </c>
      <c r="E23" s="23" t="s">
        <v>46</v>
      </c>
      <c r="F23" s="23" t="s">
        <v>47</v>
      </c>
      <c r="G23" s="23" t="s">
        <v>48</v>
      </c>
      <c r="H23" s="24" t="s">
        <v>59</v>
      </c>
    </row>
    <row r="24" spans="1:12" x14ac:dyDescent="0.35">
      <c r="A24" s="10"/>
      <c r="B24" s="25" t="s">
        <v>51</v>
      </c>
      <c r="C24" s="10"/>
      <c r="D24" s="42">
        <f>D8</f>
        <v>0.9</v>
      </c>
      <c r="E24" s="42">
        <f>E8</f>
        <v>1.1000000000000001</v>
      </c>
      <c r="F24" s="42">
        <f>F8</f>
        <v>0.8</v>
      </c>
      <c r="G24" s="42">
        <f>G8</f>
        <v>1.2</v>
      </c>
      <c r="H24" s="43"/>
    </row>
    <row r="25" spans="1:12" x14ac:dyDescent="0.35">
      <c r="A25" s="10"/>
      <c r="B25" s="25"/>
      <c r="C25" s="10"/>
      <c r="H25" s="43"/>
    </row>
    <row r="26" spans="1:12" x14ac:dyDescent="0.35">
      <c r="A26" s="10"/>
      <c r="B26" s="25" t="s">
        <v>67</v>
      </c>
      <c r="C26" s="10"/>
      <c r="D26" s="17">
        <f>$C$11*D24*($C$12+D17)^0.5</f>
        <v>3591.5525890622844</v>
      </c>
      <c r="E26" s="17">
        <f>$C$11*E24*($C$12+E17)^0.5</f>
        <v>4389.6753866316812</v>
      </c>
      <c r="F26" s="17">
        <f>$C$11*F24*($C$12+F17)^0.5</f>
        <v>3192.4911902775862</v>
      </c>
      <c r="G26" s="17">
        <f>$C$11*G24*($C$12+G17)^0.5</f>
        <v>4788.7367854163795</v>
      </c>
      <c r="H26" s="44">
        <f>SUM(D26:G26)</f>
        <v>15962.455951387932</v>
      </c>
      <c r="J26" s="11" t="s">
        <v>68</v>
      </c>
    </row>
    <row r="27" spans="1:12" x14ac:dyDescent="0.35">
      <c r="A27" s="10"/>
      <c r="B27" s="25" t="s">
        <v>9</v>
      </c>
      <c r="C27" s="10"/>
      <c r="D27" s="17">
        <f>$C$6*D26</f>
        <v>143662.10356249136</v>
      </c>
      <c r="E27" s="17">
        <f>$C$6*E26</f>
        <v>175587.01546526724</v>
      </c>
      <c r="F27" s="17">
        <f>$C$6*F26</f>
        <v>127699.64761110344</v>
      </c>
      <c r="G27" s="17">
        <f>$C$6*G26</f>
        <v>191549.47141665517</v>
      </c>
      <c r="H27" s="44">
        <f>SUM(D27:G27)</f>
        <v>638498.2380555172</v>
      </c>
      <c r="J27" s="11" t="s">
        <v>69</v>
      </c>
    </row>
    <row r="28" spans="1:12" x14ac:dyDescent="0.35">
      <c r="A28" s="10"/>
      <c r="B28" s="25" t="s">
        <v>70</v>
      </c>
      <c r="C28" s="10"/>
      <c r="D28" s="17">
        <f>$C$7*D26</f>
        <v>105462.78802811766</v>
      </c>
      <c r="E28" s="17">
        <f>$C$7*E26</f>
        <v>128898.96314547714</v>
      </c>
      <c r="F28" s="17">
        <f>$C$7*F26</f>
        <v>93744.700469437928</v>
      </c>
      <c r="G28" s="17">
        <f>$C$7*G26</f>
        <v>140617.05070415689</v>
      </c>
      <c r="H28" s="44">
        <f>SUM(D28:G28)</f>
        <v>468723.50234718958</v>
      </c>
      <c r="J28" s="11" t="s">
        <v>71</v>
      </c>
    </row>
    <row r="29" spans="1:12" x14ac:dyDescent="0.35">
      <c r="A29" s="10"/>
      <c r="B29" s="25" t="s">
        <v>72</v>
      </c>
      <c r="C29" s="10"/>
      <c r="D29" s="17">
        <f>D27-D28</f>
        <v>38199.315534373702</v>
      </c>
      <c r="E29" s="17">
        <f>E27-E28</f>
        <v>46688.052319790091</v>
      </c>
      <c r="F29" s="17">
        <f>F27-F28</f>
        <v>33954.947141665514</v>
      </c>
      <c r="G29" s="17">
        <f>G27-G28</f>
        <v>50932.420712498279</v>
      </c>
      <c r="H29" s="44">
        <f>SUM(D29:G29)</f>
        <v>169774.73570832759</v>
      </c>
      <c r="J29" s="11" t="s">
        <v>73</v>
      </c>
    </row>
    <row r="30" spans="1:12" x14ac:dyDescent="0.35">
      <c r="A30" s="10"/>
      <c r="B30" s="25"/>
      <c r="C30" s="10"/>
      <c r="D30" s="17"/>
      <c r="E30" s="17"/>
      <c r="F30" s="17"/>
      <c r="G30" s="17"/>
      <c r="H30" s="44"/>
    </row>
    <row r="31" spans="1:12" x14ac:dyDescent="0.35">
      <c r="A31" s="10"/>
      <c r="B31" s="25" t="s">
        <v>55</v>
      </c>
      <c r="C31" s="10"/>
      <c r="D31" s="17">
        <f>D13</f>
        <v>8000</v>
      </c>
      <c r="E31" s="17">
        <f>E13</f>
        <v>8000</v>
      </c>
      <c r="F31" s="17">
        <f>F13</f>
        <v>9000</v>
      </c>
      <c r="G31" s="17">
        <f>G13</f>
        <v>9000</v>
      </c>
      <c r="H31" s="44">
        <f>SUM(D31:G31)</f>
        <v>34000</v>
      </c>
      <c r="J31" s="11" t="s">
        <v>74</v>
      </c>
    </row>
    <row r="32" spans="1:12" x14ac:dyDescent="0.35">
      <c r="A32" s="10"/>
      <c r="B32" s="25" t="s">
        <v>75</v>
      </c>
      <c r="C32" s="10"/>
      <c r="D32" s="17">
        <f>D17</f>
        <v>10000</v>
      </c>
      <c r="E32" s="17">
        <f>E17</f>
        <v>10000</v>
      </c>
      <c r="F32" s="17">
        <f>F17</f>
        <v>10000</v>
      </c>
      <c r="G32" s="17">
        <f>G17</f>
        <v>10000</v>
      </c>
      <c r="H32" s="44">
        <f>SUM(D32:G32)</f>
        <v>40000</v>
      </c>
      <c r="J32" s="11" t="s">
        <v>76</v>
      </c>
    </row>
    <row r="33" spans="1:10" x14ac:dyDescent="0.35">
      <c r="A33" s="10"/>
      <c r="B33" s="25" t="s">
        <v>77</v>
      </c>
      <c r="C33" s="10"/>
      <c r="D33" s="17">
        <f>$C$9*D27</f>
        <v>21549.315534373705</v>
      </c>
      <c r="E33" s="17">
        <f>$C$9*E27</f>
        <v>26338.052319790084</v>
      </c>
      <c r="F33" s="17">
        <f>$C$9*F27</f>
        <v>19154.947141665514</v>
      </c>
      <c r="G33" s="17">
        <f>$C$9*G27</f>
        <v>28732.420712498275</v>
      </c>
      <c r="H33" s="44">
        <f>SUM(D33:G33)</f>
        <v>95774.735708327586</v>
      </c>
      <c r="J33" s="11" t="s">
        <v>78</v>
      </c>
    </row>
    <row r="34" spans="1:10" x14ac:dyDescent="0.35">
      <c r="A34" s="10"/>
      <c r="B34" s="25" t="s">
        <v>79</v>
      </c>
      <c r="C34" s="10"/>
      <c r="D34" s="17">
        <f>SUM(D31:D33)</f>
        <v>39549.315534373702</v>
      </c>
      <c r="E34" s="17">
        <f>SUM(E31:E33)</f>
        <v>44338.052319790084</v>
      </c>
      <c r="F34" s="17">
        <f>SUM(F31:F33)</f>
        <v>38154.947141665514</v>
      </c>
      <c r="G34" s="17">
        <f>SUM(G31:G33)</f>
        <v>47732.420712498279</v>
      </c>
      <c r="H34" s="44">
        <f>SUM(D34:G34)</f>
        <v>169774.73570832756</v>
      </c>
      <c r="J34" s="11" t="s">
        <v>61</v>
      </c>
    </row>
    <row r="35" spans="1:10" x14ac:dyDescent="0.35">
      <c r="A35" s="10"/>
      <c r="B35" s="25"/>
      <c r="C35" s="10"/>
      <c r="D35" s="17"/>
      <c r="E35" s="17"/>
      <c r="F35" s="17"/>
      <c r="G35" s="17"/>
      <c r="H35" s="44"/>
    </row>
    <row r="36" spans="1:10" x14ac:dyDescent="0.35">
      <c r="A36" s="10"/>
      <c r="B36" s="25" t="s">
        <v>64</v>
      </c>
      <c r="C36" s="10"/>
      <c r="D36" s="17">
        <f>D29-D34</f>
        <v>-1350</v>
      </c>
      <c r="E36" s="17">
        <f>E29-E34</f>
        <v>2350.0000000000073</v>
      </c>
      <c r="F36" s="17">
        <f>F29-F34</f>
        <v>-4200</v>
      </c>
      <c r="G36" s="17">
        <f>G29-G34</f>
        <v>3200</v>
      </c>
      <c r="H36" s="44">
        <f>SUM(D36:G36)</f>
        <v>7.2759576141834259E-12</v>
      </c>
      <c r="J36" s="11" t="s">
        <v>80</v>
      </c>
    </row>
    <row r="37" spans="1:10" x14ac:dyDescent="0.35">
      <c r="A37" s="10"/>
      <c r="B37" s="28" t="s">
        <v>81</v>
      </c>
      <c r="C37" s="30"/>
      <c r="D37" s="45">
        <f>D36/D27</f>
        <v>-9.3970502068610288E-3</v>
      </c>
      <c r="E37" s="45">
        <f>E36/E27</f>
        <v>1.3383677567347567E-2</v>
      </c>
      <c r="F37" s="45">
        <f>F36/F27</f>
        <v>-3.2889675724013599E-2</v>
      </c>
      <c r="G37" s="45">
        <f>G36/G27</f>
        <v>1.6705867034419605E-2</v>
      </c>
      <c r="H37" s="46">
        <f>H36/H27</f>
        <v>1.1395423167245739E-17</v>
      </c>
      <c r="J37" s="11" t="s">
        <v>82</v>
      </c>
    </row>
    <row r="65533" spans="255:255" x14ac:dyDescent="0.35">
      <c r="IU65533" s="11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7C4D-2AA8-4E2B-B3DB-13695DF6E9CF}">
  <dimension ref="A1:J20"/>
  <sheetViews>
    <sheetView tabSelected="1" workbookViewId="0">
      <selection activeCell="D23" sqref="D23"/>
    </sheetView>
  </sheetViews>
  <sheetFormatPr defaultRowHeight="14.5" x14ac:dyDescent="0.35"/>
  <cols>
    <col min="1" max="1" width="7.54296875" bestFit="1" customWidth="1"/>
    <col min="2" max="2" width="16.26953125" customWidth="1"/>
    <col min="3" max="3" width="13.1796875" bestFit="1" customWidth="1"/>
    <col min="4" max="4" width="5.54296875" bestFit="1" customWidth="1"/>
    <col min="5" max="5" width="4.54296875" bestFit="1" customWidth="1"/>
    <col min="6" max="6" width="5.08984375" customWidth="1"/>
    <col min="7" max="8" width="8.08984375" bestFit="1" customWidth="1"/>
    <col min="9" max="9" width="6" bestFit="1" customWidth="1"/>
    <col min="10" max="10" width="4" customWidth="1"/>
  </cols>
  <sheetData>
    <row r="1" spans="1:9" x14ac:dyDescent="0.35">
      <c r="A1" s="2" t="s">
        <v>151</v>
      </c>
    </row>
    <row r="2" spans="1:9" x14ac:dyDescent="0.35">
      <c r="A2" t="s">
        <v>152</v>
      </c>
    </row>
    <row r="4" spans="1:9" ht="15" thickBot="1" x14ac:dyDescent="0.4">
      <c r="A4" s="62" t="s">
        <v>101</v>
      </c>
      <c r="B4" s="62" t="s">
        <v>102</v>
      </c>
      <c r="C4" s="62" t="s">
        <v>103</v>
      </c>
      <c r="D4" s="62" t="s">
        <v>104</v>
      </c>
      <c r="E4" s="62" t="s">
        <v>105</v>
      </c>
      <c r="F4" s="62" t="s">
        <v>106</v>
      </c>
      <c r="G4" s="62" t="s">
        <v>107</v>
      </c>
      <c r="H4" s="62" t="s">
        <v>108</v>
      </c>
      <c r="I4" s="62" t="s">
        <v>109</v>
      </c>
    </row>
    <row r="5" spans="1:9" x14ac:dyDescent="0.35">
      <c r="A5" s="63" t="s">
        <v>110</v>
      </c>
      <c r="B5" s="64" t="s">
        <v>111</v>
      </c>
      <c r="C5" s="63"/>
      <c r="D5" s="65">
        <v>3</v>
      </c>
      <c r="E5" s="66">
        <f t="array" aca="1" ref="E5" ca="1">MAX(IF(ISERR(FIND($A$5:$A$17,C5)),0,$F$5:$F$17))</f>
        <v>0</v>
      </c>
      <c r="F5" s="67">
        <f t="shared" ref="F5:F17" ca="1" si="0">E5+D5</f>
        <v>3</v>
      </c>
      <c r="G5" s="66">
        <f ca="1">H5-D5</f>
        <v>0</v>
      </c>
      <c r="H5" s="67" cm="1">
        <f t="array" aca="1" ref="H5" ca="1">MIN(IF(ISERR(FIND(A5,$C$5:$C$17)),MAX($F$5:$F$17),$G$5:$G$17))</f>
        <v>3</v>
      </c>
      <c r="I5" s="66">
        <f ca="1">H5-F5</f>
        <v>0</v>
      </c>
    </row>
    <row r="6" spans="1:9" x14ac:dyDescent="0.35">
      <c r="A6" s="63" t="s">
        <v>112</v>
      </c>
      <c r="B6" s="64" t="s">
        <v>113</v>
      </c>
      <c r="C6" s="63" t="s">
        <v>110</v>
      </c>
      <c r="D6" s="65">
        <v>4</v>
      </c>
      <c r="E6" s="66">
        <f t="array" aca="1" ref="E6" ca="1">MAX(IF(ISERR(FIND($A$5:$A$17,C6)),0,$F$5:$F$17))</f>
        <v>3</v>
      </c>
      <c r="F6" s="67">
        <f t="shared" ca="1" si="0"/>
        <v>7</v>
      </c>
      <c r="G6" s="66">
        <f t="shared" ref="G6:G17" ca="1" si="1">H6-D6</f>
        <v>3</v>
      </c>
      <c r="H6" s="67">
        <f t="array" aca="1" ref="H6" ca="1">MIN(IF(ISERR(FIND(A6,$C$5:$C$17)),MAX($F$5:$F$17),$G$5:$G$17))</f>
        <v>7</v>
      </c>
      <c r="I6" s="66">
        <f t="shared" ref="I6:I17" ca="1" si="2">H6-F6</f>
        <v>0</v>
      </c>
    </row>
    <row r="7" spans="1:9" x14ac:dyDescent="0.35">
      <c r="A7" s="63" t="s">
        <v>114</v>
      </c>
      <c r="B7" s="64" t="s">
        <v>115</v>
      </c>
      <c r="C7" s="63" t="s">
        <v>112</v>
      </c>
      <c r="D7" s="65">
        <v>3</v>
      </c>
      <c r="E7" s="66">
        <f t="array" aca="1" ref="E7" ca="1">MAX(IF(ISERR(FIND($A$5:$A$17,C7)),0,$F$5:$F$17))</f>
        <v>7</v>
      </c>
      <c r="F7" s="67">
        <f t="shared" ca="1" si="0"/>
        <v>10</v>
      </c>
      <c r="G7" s="66">
        <f t="shared" ca="1" si="1"/>
        <v>22</v>
      </c>
      <c r="H7" s="67">
        <f t="array" aca="1" ref="H7" ca="1">MIN(IF(ISERR(FIND(A7,$C$5:$C$17)),MAX($F$5:$F$17),$G$5:$G$17))</f>
        <v>25</v>
      </c>
      <c r="I7" s="66">
        <f t="shared" ca="1" si="2"/>
        <v>15</v>
      </c>
    </row>
    <row r="8" spans="1:9" x14ac:dyDescent="0.35">
      <c r="A8" s="63" t="s">
        <v>116</v>
      </c>
      <c r="B8" s="64" t="s">
        <v>117</v>
      </c>
      <c r="C8" s="63" t="s">
        <v>112</v>
      </c>
      <c r="D8" s="65">
        <v>10</v>
      </c>
      <c r="E8" s="66">
        <f t="array" aca="1" ref="E8" ca="1">MAX(IF(ISERR(FIND($A$5:$A$17,C8)),0,$F$5:$F$17))</f>
        <v>7</v>
      </c>
      <c r="F8" s="67">
        <f t="shared" ca="1" si="0"/>
        <v>17</v>
      </c>
      <c r="G8" s="66">
        <f t="shared" ca="1" si="1"/>
        <v>7</v>
      </c>
      <c r="H8" s="67">
        <f t="array" aca="1" ref="H8" ca="1">MIN(IF(ISERR(FIND(A8,$C$5:$C$17)),MAX($F$5:$F$17),$G$5:$G$17))</f>
        <v>17</v>
      </c>
      <c r="I8" s="66">
        <f t="shared" ca="1" si="2"/>
        <v>0</v>
      </c>
    </row>
    <row r="9" spans="1:9" x14ac:dyDescent="0.35">
      <c r="A9" s="63" t="s">
        <v>118</v>
      </c>
      <c r="B9" s="64" t="s">
        <v>119</v>
      </c>
      <c r="C9" s="63" t="s">
        <v>116</v>
      </c>
      <c r="D9" s="65">
        <v>8</v>
      </c>
      <c r="E9" s="66">
        <f t="array" aca="1" ref="E9" ca="1">MAX(IF(ISERR(FIND($A$5:$A$17,C9)),0,$F$5:$F$17))</f>
        <v>17</v>
      </c>
      <c r="F9" s="67">
        <f t="shared" ca="1" si="0"/>
        <v>25</v>
      </c>
      <c r="G9" s="66">
        <f t="shared" ca="1" si="1"/>
        <v>17</v>
      </c>
      <c r="H9" s="67" cm="1">
        <f t="array" aca="1" ref="H9" ca="1">MIN(IF(ISERR(FIND(A9,$C$5:$C$17)),MAX($F$5:$F$17),$G$5:$G$17))</f>
        <v>25</v>
      </c>
      <c r="I9" s="66">
        <f t="shared" ca="1" si="2"/>
        <v>0</v>
      </c>
    </row>
    <row r="10" spans="1:9" x14ac:dyDescent="0.35">
      <c r="A10" s="63" t="s">
        <v>120</v>
      </c>
      <c r="B10" s="64" t="s">
        <v>121</v>
      </c>
      <c r="C10" s="63" t="s">
        <v>116</v>
      </c>
      <c r="D10" s="65">
        <v>4</v>
      </c>
      <c r="E10" s="66">
        <f t="array" aca="1" ref="E10" ca="1">MAX(IF(ISERR(FIND($A$5:$A$17,C10)),0,$F$5:$F$17))</f>
        <v>17</v>
      </c>
      <c r="F10" s="67">
        <f t="shared" ca="1" si="0"/>
        <v>21</v>
      </c>
      <c r="G10" s="66">
        <f t="shared" ca="1" si="1"/>
        <v>21</v>
      </c>
      <c r="H10" s="67" cm="1">
        <f t="array" aca="1" ref="H10" ca="1">MIN(IF(ISERR(FIND(A10,$C$5:$C$17)),MAX($F$5:$F$17),$G$5:$G$17))</f>
        <v>25</v>
      </c>
      <c r="I10" s="66">
        <f t="shared" ca="1" si="2"/>
        <v>4</v>
      </c>
    </row>
    <row r="11" spans="1:9" x14ac:dyDescent="0.35">
      <c r="A11" s="63" t="s">
        <v>122</v>
      </c>
      <c r="B11" s="64" t="s">
        <v>123</v>
      </c>
      <c r="C11" s="63" t="s">
        <v>116</v>
      </c>
      <c r="D11" s="65">
        <v>6</v>
      </c>
      <c r="E11" s="66">
        <f t="array" aca="1" ref="E11" ca="1">MAX(IF(ISERR(FIND($A$5:$A$17,C11)),0,$F$5:$F$17))</f>
        <v>17</v>
      </c>
      <c r="F11" s="67">
        <f t="shared" ca="1" si="0"/>
        <v>23</v>
      </c>
      <c r="G11" s="66">
        <f t="shared" ca="1" si="1"/>
        <v>19</v>
      </c>
      <c r="H11" s="67" cm="1">
        <f t="array" aca="1" ref="H11" ca="1">MIN(IF(ISERR(FIND(A11,$C$5:$C$17)),MAX($F$5:$F$17),$G$5:$G$17))</f>
        <v>25</v>
      </c>
      <c r="I11" s="66">
        <f t="shared" ca="1" si="2"/>
        <v>2</v>
      </c>
    </row>
    <row r="12" spans="1:9" x14ac:dyDescent="0.35">
      <c r="A12" s="63" t="s">
        <v>124</v>
      </c>
      <c r="B12" s="64" t="s">
        <v>125</v>
      </c>
      <c r="C12" s="63" t="s">
        <v>126</v>
      </c>
      <c r="D12" s="65">
        <v>8</v>
      </c>
      <c r="E12" s="66">
        <f t="array" aca="1" ref="E12" ca="1">MAX(IF(ISERR(FIND($A$5:$A$17,C12)),0,$F$5:$F$17))</f>
        <v>25</v>
      </c>
      <c r="F12" s="67">
        <f t="shared" ca="1" si="0"/>
        <v>33</v>
      </c>
      <c r="G12" s="66">
        <f t="shared" ca="1" si="1"/>
        <v>25</v>
      </c>
      <c r="H12" s="67" cm="1">
        <f t="array" aca="1" ref="H12" ca="1">MIN(IF(ISERR(FIND(A12,$C$5:$C$17)),MAX($F$5:$F$17),$G$5:$G$17))</f>
        <v>33</v>
      </c>
      <c r="I12" s="66">
        <f t="shared" ca="1" si="2"/>
        <v>0</v>
      </c>
    </row>
    <row r="13" spans="1:9" x14ac:dyDescent="0.35">
      <c r="A13" s="63" t="s">
        <v>127</v>
      </c>
      <c r="B13" s="64" t="s">
        <v>128</v>
      </c>
      <c r="C13" s="63" t="s">
        <v>124</v>
      </c>
      <c r="D13" s="65">
        <v>5</v>
      </c>
      <c r="E13" s="66">
        <f t="array" aca="1" ref="E13" ca="1">MAX(IF(ISERR(FIND($A$5:$A$17,C13)),0,$F$5:$F$17))</f>
        <v>33</v>
      </c>
      <c r="F13" s="67">
        <f t="shared" ca="1" si="0"/>
        <v>38</v>
      </c>
      <c r="G13" s="66">
        <f t="shared" ca="1" si="1"/>
        <v>33</v>
      </c>
      <c r="H13" s="67" cm="1">
        <f t="array" aca="1" ref="H13" ca="1">MIN(IF(ISERR(FIND(A13,$C$5:$C$17)),MAX($F$5:$F$17),$G$5:$G$17))</f>
        <v>38</v>
      </c>
      <c r="I13" s="66">
        <f t="shared" ca="1" si="2"/>
        <v>0</v>
      </c>
    </row>
    <row r="14" spans="1:9" x14ac:dyDescent="0.35">
      <c r="A14" s="63" t="s">
        <v>129</v>
      </c>
      <c r="B14" s="64" t="s">
        <v>130</v>
      </c>
      <c r="C14" s="63" t="s">
        <v>124</v>
      </c>
      <c r="D14" s="65">
        <v>5</v>
      </c>
      <c r="E14" s="66">
        <f t="array" aca="1" ref="E14" ca="1">MAX(IF(ISERR(FIND($A$5:$A$17,C14)),0,$F$5:$F$17))</f>
        <v>33</v>
      </c>
      <c r="F14" s="67">
        <f t="shared" ca="1" si="0"/>
        <v>38</v>
      </c>
      <c r="G14" s="66">
        <f t="shared" ca="1" si="1"/>
        <v>35</v>
      </c>
      <c r="H14" s="67" cm="1">
        <f t="array" aca="1" ref="H14" ca="1">MIN(IF(ISERR(FIND(A14,$C$5:$C$17)),MAX($F$5:$F$17),$G$5:$G$17))</f>
        <v>40</v>
      </c>
      <c r="I14" s="66">
        <f t="shared" ca="1" si="2"/>
        <v>2</v>
      </c>
    </row>
    <row r="15" spans="1:9" x14ac:dyDescent="0.35">
      <c r="A15" s="63" t="s">
        <v>131</v>
      </c>
      <c r="B15" s="64" t="s">
        <v>132</v>
      </c>
      <c r="C15" s="63" t="s">
        <v>127</v>
      </c>
      <c r="D15" s="65">
        <v>4</v>
      </c>
      <c r="E15" s="66">
        <f t="array" aca="1" ref="E15" ca="1">MAX(IF(ISERR(FIND($A$5:$A$17,C15)),0,$F$5:$F$17))</f>
        <v>38</v>
      </c>
      <c r="F15" s="67">
        <f t="shared" ca="1" si="0"/>
        <v>42</v>
      </c>
      <c r="G15" s="66">
        <f t="shared" ca="1" si="1"/>
        <v>38</v>
      </c>
      <c r="H15" s="67" cm="1">
        <f t="array" aca="1" ref="H15" ca="1">MIN(IF(ISERR(FIND(A15,$C$5:$C$17)),MAX($F$5:$F$17),$G$5:$G$17))</f>
        <v>42</v>
      </c>
      <c r="I15" s="66">
        <f t="shared" ca="1" si="2"/>
        <v>0</v>
      </c>
    </row>
    <row r="16" spans="1:9" x14ac:dyDescent="0.35">
      <c r="A16" s="63" t="s">
        <v>133</v>
      </c>
      <c r="B16" s="64" t="s">
        <v>134</v>
      </c>
      <c r="C16" s="63" t="s">
        <v>129</v>
      </c>
      <c r="D16" s="65">
        <v>2</v>
      </c>
      <c r="E16" s="66">
        <f t="array" aca="1" ref="E16" ca="1">MAX(IF(ISERR(FIND($A$5:$A$17,C16)),0,$F$5:$F$17))</f>
        <v>38</v>
      </c>
      <c r="F16" s="67">
        <f t="shared" ca="1" si="0"/>
        <v>40</v>
      </c>
      <c r="G16" s="66">
        <f t="shared" ca="1" si="1"/>
        <v>40</v>
      </c>
      <c r="H16" s="67" cm="1">
        <f t="array" aca="1" ref="H16" ca="1">MIN(IF(ISERR(FIND(A16,$C$5:$C$17)),MAX($F$5:$F$17),$G$5:$G$17))</f>
        <v>42</v>
      </c>
      <c r="I16" s="66">
        <f t="shared" ca="1" si="2"/>
        <v>2</v>
      </c>
    </row>
    <row r="17" spans="1:10" ht="15" thickBot="1" x14ac:dyDescent="0.4">
      <c r="A17" s="63" t="s">
        <v>135</v>
      </c>
      <c r="B17" s="64" t="s">
        <v>136</v>
      </c>
      <c r="C17" s="63" t="s">
        <v>137</v>
      </c>
      <c r="D17" s="65">
        <v>4</v>
      </c>
      <c r="E17" s="66">
        <f t="array" aca="1" ref="E17" ca="1">MAX(IF(ISERR(FIND($A$5:$A$17,C17)),0,$F$5:$F$17))</f>
        <v>42</v>
      </c>
      <c r="F17" s="67">
        <f t="shared" ca="1" si="0"/>
        <v>46</v>
      </c>
      <c r="G17" s="66">
        <f t="shared" ca="1" si="1"/>
        <v>42</v>
      </c>
      <c r="H17" s="67" cm="1">
        <f t="array" aca="1" ref="H17" ca="1">MIN(IF(ISERR(FIND(A17,$C$5:$C$17)),MAX($F$5:$F$17),$G$5:$G$17))</f>
        <v>46</v>
      </c>
      <c r="I17" s="66">
        <f t="shared" ca="1" si="2"/>
        <v>0</v>
      </c>
    </row>
    <row r="18" spans="1:10" x14ac:dyDescent="0.35">
      <c r="A18" s="68"/>
      <c r="B18" s="68"/>
      <c r="C18" s="69" t="str">
        <f ca="1">IF(MIN(I5:I17)&lt;0,"Network Error","")</f>
        <v/>
      </c>
      <c r="D18" s="68"/>
      <c r="E18" s="68"/>
      <c r="F18" s="68"/>
      <c r="G18" s="68"/>
      <c r="H18" s="68"/>
      <c r="I18" s="68"/>
    </row>
    <row r="20" spans="1:10" x14ac:dyDescent="0.35">
      <c r="A20" s="63"/>
      <c r="B20" s="63"/>
      <c r="C20" s="63"/>
      <c r="J20" s="63"/>
    </row>
  </sheetData>
  <conditionalFormatting sqref="A5:A17">
    <cfRule type="expression" dxfId="3" priority="1" stopIfTrue="1">
      <formula>I5=0</formula>
    </cfRule>
    <cfRule type="expression" dxfId="2" priority="2" stopIfTrue="1">
      <formula>I5&gt;0</formula>
    </cfRule>
  </conditionalFormatting>
  <conditionalFormatting sqref="I5:I17">
    <cfRule type="cellIs" dxfId="1" priority="3" stopIfTrue="1" operator="equal">
      <formula>0</formula>
    </cfRule>
    <cfRule type="cellIs" dxfId="0" priority="4" stopIfTrue="1" operator="greater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344-3B7E-48AC-BB67-A38BAC4207B4}">
  <dimension ref="A1:P18"/>
  <sheetViews>
    <sheetView workbookViewId="0">
      <selection activeCell="B23" sqref="B23"/>
    </sheetView>
  </sheetViews>
  <sheetFormatPr defaultRowHeight="14.5" x14ac:dyDescent="0.35"/>
  <cols>
    <col min="1" max="1" width="6.81640625" style="70" customWidth="1"/>
    <col min="2" max="2" width="26.81640625" style="70" customWidth="1"/>
    <col min="3" max="3" width="9.1796875" style="70" customWidth="1"/>
    <col min="4" max="4" width="10.1796875" style="70" customWidth="1"/>
    <col min="5" max="5" width="10.54296875" style="70" customWidth="1"/>
    <col min="6" max="12" width="9.1796875" style="70" customWidth="1"/>
  </cols>
  <sheetData>
    <row r="1" spans="1:16" ht="18" x14ac:dyDescent="0.4">
      <c r="A1" s="105" t="s">
        <v>138</v>
      </c>
      <c r="B1" s="105"/>
      <c r="C1" s="105"/>
      <c r="D1" s="105"/>
      <c r="E1" s="105"/>
      <c r="F1" s="105"/>
      <c r="G1" s="66"/>
      <c r="H1" s="66"/>
      <c r="I1" s="66"/>
      <c r="J1" s="66"/>
      <c r="K1" s="66"/>
      <c r="L1" s="66"/>
      <c r="M1" s="70"/>
      <c r="N1" s="70"/>
      <c r="O1" s="70"/>
      <c r="P1" s="70"/>
    </row>
    <row r="2" spans="1:16" s="70" customFormat="1" ht="13.5" thickBot="1" x14ac:dyDescent="0.35">
      <c r="A2" s="7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6" ht="26.5" thickBot="1" x14ac:dyDescent="0.4">
      <c r="A3" s="72" t="s">
        <v>101</v>
      </c>
      <c r="B3" s="73" t="s">
        <v>102</v>
      </c>
      <c r="C3" s="74" t="s">
        <v>139</v>
      </c>
      <c r="D3" s="75" t="s">
        <v>140</v>
      </c>
      <c r="E3" s="76" t="s">
        <v>141</v>
      </c>
      <c r="F3" s="75" t="s">
        <v>142</v>
      </c>
      <c r="G3" s="75" t="s">
        <v>143</v>
      </c>
      <c r="H3" s="76" t="s">
        <v>144</v>
      </c>
      <c r="I3" s="66"/>
      <c r="J3" s="66"/>
      <c r="K3" s="66"/>
      <c r="L3" s="66"/>
      <c r="M3" s="70"/>
      <c r="N3" s="70"/>
      <c r="O3" s="70"/>
      <c r="P3" s="70"/>
    </row>
    <row r="4" spans="1:16" ht="15" thickBot="1" x14ac:dyDescent="0.4">
      <c r="A4" s="77" t="s">
        <v>110</v>
      </c>
      <c r="B4" s="78" t="s">
        <v>111</v>
      </c>
      <c r="C4" s="79">
        <v>2</v>
      </c>
      <c r="D4" s="80">
        <v>3</v>
      </c>
      <c r="E4" s="81">
        <v>4</v>
      </c>
      <c r="F4" s="82">
        <f>(C4+4*D4+E4)/6</f>
        <v>3</v>
      </c>
      <c r="G4" s="83">
        <f>((E4-C4)/6)^2</f>
        <v>0.1111111111111111</v>
      </c>
      <c r="H4" s="84">
        <f>((E4-C4)/6)</f>
        <v>0.33333333333333331</v>
      </c>
      <c r="L4"/>
    </row>
    <row r="5" spans="1:16" ht="15" thickBot="1" x14ac:dyDescent="0.4">
      <c r="A5" s="77" t="s">
        <v>112</v>
      </c>
      <c r="B5" s="78" t="s">
        <v>113</v>
      </c>
      <c r="C5" s="85">
        <v>3</v>
      </c>
      <c r="D5" s="86">
        <v>4</v>
      </c>
      <c r="E5" s="87">
        <v>5</v>
      </c>
      <c r="F5" s="82">
        <f t="shared" ref="F5:F11" si="0">(C5+4*D5+E5)/6</f>
        <v>4</v>
      </c>
      <c r="G5" s="83">
        <f t="shared" ref="G5:G11" si="1">((E5-C5)/6)^2</f>
        <v>0.1111111111111111</v>
      </c>
      <c r="H5" s="84">
        <f t="shared" ref="H5:H11" si="2">((E5-C5)/6)</f>
        <v>0.33333333333333331</v>
      </c>
      <c r="L5"/>
    </row>
    <row r="6" spans="1:16" ht="15" thickBot="1" x14ac:dyDescent="0.4">
      <c r="A6" s="77" t="s">
        <v>116</v>
      </c>
      <c r="B6" s="78" t="s">
        <v>117</v>
      </c>
      <c r="C6" s="85">
        <v>5</v>
      </c>
      <c r="D6" s="86">
        <v>10</v>
      </c>
      <c r="E6" s="87">
        <v>15</v>
      </c>
      <c r="F6" s="82">
        <f t="shared" si="0"/>
        <v>10</v>
      </c>
      <c r="G6" s="83">
        <f t="shared" si="1"/>
        <v>2.7777777777777781</v>
      </c>
      <c r="H6" s="84">
        <f t="shared" si="2"/>
        <v>1.6666666666666667</v>
      </c>
      <c r="L6"/>
    </row>
    <row r="7" spans="1:16" ht="15" thickBot="1" x14ac:dyDescent="0.4">
      <c r="A7" s="77" t="s">
        <v>118</v>
      </c>
      <c r="B7" s="78" t="s">
        <v>119</v>
      </c>
      <c r="C7" s="85">
        <v>4</v>
      </c>
      <c r="D7" s="86">
        <v>8</v>
      </c>
      <c r="E7" s="87">
        <v>12</v>
      </c>
      <c r="F7" s="82">
        <f t="shared" si="0"/>
        <v>8</v>
      </c>
      <c r="G7" s="83">
        <f t="shared" si="1"/>
        <v>1.7777777777777777</v>
      </c>
      <c r="H7" s="84">
        <f t="shared" si="2"/>
        <v>1.3333333333333333</v>
      </c>
      <c r="L7"/>
    </row>
    <row r="8" spans="1:16" ht="15" thickBot="1" x14ac:dyDescent="0.4">
      <c r="A8" s="77" t="s">
        <v>124</v>
      </c>
      <c r="B8" s="78" t="s">
        <v>125</v>
      </c>
      <c r="C8" s="85">
        <v>2</v>
      </c>
      <c r="D8" s="86">
        <v>9</v>
      </c>
      <c r="E8" s="87">
        <v>10</v>
      </c>
      <c r="F8" s="82">
        <f t="shared" si="0"/>
        <v>8</v>
      </c>
      <c r="G8" s="83">
        <f t="shared" si="1"/>
        <v>1.7777777777777777</v>
      </c>
      <c r="H8" s="84">
        <f t="shared" si="2"/>
        <v>1.3333333333333333</v>
      </c>
      <c r="L8"/>
    </row>
    <row r="9" spans="1:16" ht="15" thickBot="1" x14ac:dyDescent="0.4">
      <c r="A9" s="77" t="s">
        <v>127</v>
      </c>
      <c r="B9" s="78" t="s">
        <v>128</v>
      </c>
      <c r="C9" s="85">
        <v>2</v>
      </c>
      <c r="D9" s="86">
        <v>5</v>
      </c>
      <c r="E9" s="87">
        <v>8</v>
      </c>
      <c r="F9" s="82">
        <f t="shared" si="0"/>
        <v>5</v>
      </c>
      <c r="G9" s="83">
        <f t="shared" si="1"/>
        <v>1</v>
      </c>
      <c r="H9" s="84">
        <f t="shared" si="2"/>
        <v>1</v>
      </c>
      <c r="L9"/>
    </row>
    <row r="10" spans="1:16" ht="15" thickBot="1" x14ac:dyDescent="0.4">
      <c r="A10" s="77" t="s">
        <v>131</v>
      </c>
      <c r="B10" s="78" t="s">
        <v>132</v>
      </c>
      <c r="C10" s="85">
        <v>1</v>
      </c>
      <c r="D10" s="86">
        <v>4</v>
      </c>
      <c r="E10" s="87">
        <v>7</v>
      </c>
      <c r="F10" s="82">
        <f t="shared" si="0"/>
        <v>4</v>
      </c>
      <c r="G10" s="83">
        <f t="shared" si="1"/>
        <v>1</v>
      </c>
      <c r="H10" s="84">
        <f t="shared" si="2"/>
        <v>1</v>
      </c>
      <c r="L10"/>
    </row>
    <row r="11" spans="1:16" ht="15" thickBot="1" x14ac:dyDescent="0.4">
      <c r="A11" s="88" t="s">
        <v>135</v>
      </c>
      <c r="B11" s="89" t="s">
        <v>136</v>
      </c>
      <c r="C11" s="90">
        <v>2</v>
      </c>
      <c r="D11" s="91">
        <v>4</v>
      </c>
      <c r="E11" s="92">
        <v>6</v>
      </c>
      <c r="F11" s="82">
        <f t="shared" si="0"/>
        <v>4</v>
      </c>
      <c r="G11" s="83">
        <f t="shared" si="1"/>
        <v>0.44444444444444442</v>
      </c>
      <c r="H11" s="84">
        <f t="shared" si="2"/>
        <v>0.66666666666666663</v>
      </c>
      <c r="L11"/>
    </row>
    <row r="13" spans="1:16" ht="15" thickBot="1" x14ac:dyDescent="0.4"/>
    <row r="14" spans="1:16" x14ac:dyDescent="0.35">
      <c r="A14" s="93" t="s">
        <v>145</v>
      </c>
      <c r="B14" s="68"/>
      <c r="C14" s="94">
        <f>SUM(F4:F11)</f>
        <v>46</v>
      </c>
      <c r="D14" s="95" t="s">
        <v>146</v>
      </c>
    </row>
    <row r="15" spans="1:16" x14ac:dyDescent="0.35">
      <c r="A15" s="96" t="s">
        <v>147</v>
      </c>
      <c r="B15"/>
      <c r="C15" s="97">
        <f>SUM(G4:G11)</f>
        <v>9.0000000000000018</v>
      </c>
      <c r="D15" s="98"/>
    </row>
    <row r="16" spans="1:16" x14ac:dyDescent="0.35">
      <c r="A16" s="99" t="s">
        <v>148</v>
      </c>
      <c r="B16"/>
      <c r="C16" s="97">
        <f>SQRT(C15)</f>
        <v>3.0000000000000004</v>
      </c>
      <c r="D16" s="98" t="s">
        <v>146</v>
      </c>
    </row>
    <row r="17" spans="1:4" customFormat="1" x14ac:dyDescent="0.35">
      <c r="A17" s="99" t="s">
        <v>149</v>
      </c>
      <c r="C17" s="100">
        <f>_xlfn.NORM.DIST(40,C14,C16,TRUE)</f>
        <v>2.2750131948179219E-2</v>
      </c>
      <c r="D17" s="98"/>
    </row>
    <row r="18" spans="1:4" customFormat="1" ht="15" thickBot="1" x14ac:dyDescent="0.4">
      <c r="A18" s="101" t="s">
        <v>150</v>
      </c>
      <c r="B18" s="102"/>
      <c r="C18" s="103">
        <f>_xlfn.NORM.DIST(50,C14,C16,TRUE)</f>
        <v>0.90878878027413212</v>
      </c>
      <c r="D18" s="104"/>
    </row>
  </sheetData>
  <mergeCells count="1">
    <mergeCell ref="A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Profit Analysis (Sensitivity)</vt:lpstr>
      <vt:lpstr>Real Estate NPV</vt:lpstr>
      <vt:lpstr>Advert Budget BaseCase Analysis</vt:lpstr>
      <vt:lpstr>What-If Scenario Summary</vt:lpstr>
      <vt:lpstr>Budget Break-Even Analysis</vt:lpstr>
      <vt:lpstr>CPM</vt:lpstr>
      <vt:lpstr>PERT Critical Path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Maddox</dc:creator>
  <cp:lastModifiedBy>Artemis Maddox</cp:lastModifiedBy>
  <dcterms:created xsi:type="dcterms:W3CDTF">2022-07-13T23:51:19Z</dcterms:created>
  <dcterms:modified xsi:type="dcterms:W3CDTF">2022-07-15T18:46:22Z</dcterms:modified>
</cp:coreProperties>
</file>