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EEDFA16-9913-409C-AA8F-BDB2D3303D60}" xr6:coauthVersionLast="37" xr6:coauthVersionMax="37" xr10:uidLastSave="{00000000-0000-0000-0000-000000000000}"/>
  <bookViews>
    <workbookView xWindow="0" yWindow="0" windowWidth="22260" windowHeight="12645" firstSheet="7" activeTab="7" xr2:uid="{00000000-000D-0000-FFFF-FFFF00000000}"/>
  </bookViews>
  <sheets>
    <sheet name="Автозаполнение1" sheetId="1" r:id="rId1"/>
    <sheet name="Автозаполнение2" sheetId="2" r:id="rId2"/>
    <sheet name="Прогрессия" sheetId="3" r:id="rId3"/>
    <sheet name="Отчёт" sheetId="4" r:id="rId4"/>
    <sheet name="Прогрессия1" sheetId="5" r:id="rId5"/>
    <sheet name="Отчёт1" sheetId="6" r:id="rId6"/>
    <sheet name="Торговля и производство" sheetId="7" r:id="rId7"/>
    <sheet name="Сервер" sheetId="8" r:id="rId8"/>
    <sheet name="Исходные данные" sheetId="9" r:id="rId9"/>
    <sheet name="Удельный вес" sheetId="10" r:id="rId10"/>
    <sheet name="Продукция 1" sheetId="11" r:id="rId11"/>
    <sheet name="Продукция2" sheetId="12" r:id="rId12"/>
    <sheet name="Годовой отчёт" sheetId="13" r:id="rId13"/>
    <sheet name="Зарплата" sheetId="14" r:id="rId14"/>
  </sheets>
  <definedNames>
    <definedName name="Базовая">Зарплата!$A$9</definedName>
    <definedName name="Надбавка1">Зарплата!$E$3</definedName>
    <definedName name="Надбавка2">Зарплата!$E$4</definedName>
    <definedName name="Надбавка3">Зарплата!$E$5</definedName>
    <definedName name="Надбавка4">Зарплата!$E$6</definedName>
    <definedName name="Налог">Сервер!$B$13</definedName>
    <definedName name="Начислено1">Зарплата!$F$3</definedName>
    <definedName name="Начислено2">Зарплата!$F$4</definedName>
    <definedName name="Начислено3">Зарплата!$F$5</definedName>
    <definedName name="Начислено4">Зарплата!$F$6</definedName>
    <definedName name="Оклад1">Зарплата!$C$3</definedName>
    <definedName name="Оклад2">Зарплата!$C$4</definedName>
    <definedName name="Оклад3">Зарплата!$C$5</definedName>
    <definedName name="Оклад4">Зарплата!$C$6</definedName>
    <definedName name="ПодоходныйНалог1">Зарплата!$G$3</definedName>
    <definedName name="ПодоходныйНалог2">Зарплата!$G$4</definedName>
    <definedName name="ПодоходныйНалог3">Зарплата!$G$5</definedName>
    <definedName name="ПодоходныйНалог4">Зарплата!$G$6</definedName>
    <definedName name="Премия1">Зарплата!$D$3</definedName>
    <definedName name="Премия2">Зарплата!$D$4</definedName>
    <definedName name="Премия3">Зарплата!$D$5</definedName>
    <definedName name="Премия4">Зарплата!$D$6</definedName>
    <definedName name="Проф1">Зарплата!$H$3</definedName>
    <definedName name="Проф2">Зарплата!$H$4</definedName>
    <definedName name="Проф3">Зарплата!$H$5</definedName>
    <definedName name="Проф4">Зарплата!$H$6</definedName>
    <definedName name="ПроцентВзноса">Зарплата!$E$9</definedName>
    <definedName name="ПроцентНадбавки">Зарплата!$B$9</definedName>
    <definedName name="ПроцентНалога">Зарплата!$D$9</definedName>
    <definedName name="ПроцентПремии">Зарплата!$C$9</definedName>
    <definedName name="Тариф1">Зарплата!$B$3</definedName>
    <definedName name="Тариф2">Зарплата!$B$4</definedName>
    <definedName name="Тариф3">Зарплата!$B$5</definedName>
    <definedName name="Тариф4">Зарплата!$B$6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8" l="1"/>
  <c r="D9" i="8"/>
  <c r="E9" i="8"/>
  <c r="F9" i="8"/>
  <c r="G9" i="8"/>
  <c r="H9" i="8"/>
  <c r="B9" i="8"/>
  <c r="C6" i="14" l="1"/>
  <c r="D6" i="14" s="1"/>
  <c r="C5" i="14"/>
  <c r="C4" i="14"/>
  <c r="C3" i="14"/>
  <c r="E4" i="12"/>
  <c r="E6" i="12" s="1"/>
  <c r="B4" i="12"/>
  <c r="B7" i="12" s="1"/>
  <c r="C3" i="12"/>
  <c r="C5" i="12" s="1"/>
  <c r="D3" i="12"/>
  <c r="D4" i="12" s="1"/>
  <c r="E3" i="12"/>
  <c r="E5" i="12" s="1"/>
  <c r="B3" i="12"/>
  <c r="B5" i="12" s="1"/>
  <c r="C4" i="11"/>
  <c r="C7" i="11" s="1"/>
  <c r="D4" i="11"/>
  <c r="D7" i="11" s="1"/>
  <c r="C3" i="11"/>
  <c r="C5" i="11" s="1"/>
  <c r="D3" i="11"/>
  <c r="D5" i="11" s="1"/>
  <c r="E3" i="11"/>
  <c r="E4" i="11" s="1"/>
  <c r="B3" i="11"/>
  <c r="B3" i="13" s="1"/>
  <c r="C10" i="8"/>
  <c r="C11" i="8" s="1"/>
  <c r="D10" i="8"/>
  <c r="D11" i="8" s="1"/>
  <c r="E10" i="8"/>
  <c r="H10" i="8"/>
  <c r="H11" i="8" s="1"/>
  <c r="E11" i="8"/>
  <c r="F10" i="8"/>
  <c r="G10" i="8"/>
  <c r="B10" i="8"/>
  <c r="B11" i="8" s="1"/>
  <c r="C15" i="7"/>
  <c r="B15" i="7"/>
  <c r="D14" i="7"/>
  <c r="D13" i="7"/>
  <c r="D12" i="7"/>
  <c r="D11" i="7"/>
  <c r="D10" i="7"/>
  <c r="D9" i="7"/>
  <c r="D8" i="7"/>
  <c r="D7" i="7"/>
  <c r="D6" i="7"/>
  <c r="D5" i="7"/>
  <c r="D15" i="7" s="1"/>
  <c r="I6" i="6"/>
  <c r="E12" i="6"/>
  <c r="H11" i="6"/>
  <c r="G11" i="6"/>
  <c r="G12" i="6" s="1"/>
  <c r="F11" i="6"/>
  <c r="F12" i="6" s="1"/>
  <c r="E11" i="6"/>
  <c r="D11" i="6"/>
  <c r="C11" i="6"/>
  <c r="I10" i="6"/>
  <c r="I9" i="6"/>
  <c r="I8" i="6"/>
  <c r="I7" i="6"/>
  <c r="H5" i="6"/>
  <c r="H12" i="6" s="1"/>
  <c r="G5" i="6"/>
  <c r="F5" i="6"/>
  <c r="E5" i="6"/>
  <c r="D5" i="6"/>
  <c r="D12" i="6" s="1"/>
  <c r="C5" i="6"/>
  <c r="C12" i="6" s="1"/>
  <c r="I4" i="6"/>
  <c r="I3" i="6"/>
  <c r="D3" i="5"/>
  <c r="D4" i="5"/>
  <c r="D5" i="5"/>
  <c r="D6" i="5"/>
  <c r="D7" i="5"/>
  <c r="D8" i="5"/>
  <c r="D9" i="5"/>
  <c r="D10" i="5"/>
  <c r="D11" i="5"/>
  <c r="D2" i="5"/>
  <c r="E6" i="11" l="1"/>
  <c r="E7" i="11"/>
  <c r="D7" i="12"/>
  <c r="D6" i="12"/>
  <c r="D5" i="12"/>
  <c r="D6" i="11"/>
  <c r="E7" i="12"/>
  <c r="E8" i="12" s="1"/>
  <c r="E6" i="14"/>
  <c r="F6" i="14" s="1"/>
  <c r="H6" i="14" s="1"/>
  <c r="B5" i="11"/>
  <c r="B5" i="13" s="1"/>
  <c r="G11" i="8"/>
  <c r="C6" i="11"/>
  <c r="C4" i="12"/>
  <c r="B6" i="12"/>
  <c r="I12" i="6"/>
  <c r="E5" i="11"/>
  <c r="I11" i="6"/>
  <c r="F11" i="8"/>
  <c r="B4" i="11"/>
  <c r="D5" i="14"/>
  <c r="E5" i="14"/>
  <c r="F5" i="14" s="1"/>
  <c r="H5" i="14" s="1"/>
  <c r="E3" i="14"/>
  <c r="F3" i="14" s="1"/>
  <c r="H3" i="14" s="1"/>
  <c r="D4" i="14"/>
  <c r="E4" i="14"/>
  <c r="F4" i="14" s="1"/>
  <c r="H4" i="14" s="1"/>
  <c r="D3" i="14"/>
  <c r="D8" i="12"/>
  <c r="B8" i="12"/>
  <c r="C8" i="11"/>
  <c r="I5" i="6"/>
  <c r="C7" i="12" l="1"/>
  <c r="C6" i="12"/>
  <c r="C8" i="12"/>
  <c r="B4" i="13"/>
  <c r="B7" i="11"/>
  <c r="B7" i="13" s="1"/>
  <c r="B6" i="11"/>
  <c r="B6" i="13" s="1"/>
  <c r="G5" i="14"/>
  <c r="I5" i="14" s="1"/>
  <c r="G3" i="14"/>
  <c r="I3" i="14" s="1"/>
  <c r="G4" i="14"/>
  <c r="G6" i="14"/>
  <c r="D8" i="11"/>
  <c r="B8" i="11" l="1"/>
  <c r="B8" i="13" s="1"/>
  <c r="I4" i="14"/>
  <c r="I6" i="14"/>
  <c r="E8" i="11"/>
</calcChain>
</file>

<file path=xl/sharedStrings.xml><?xml version="1.0" encoding="utf-8"?>
<sst xmlns="http://schemas.openxmlformats.org/spreadsheetml/2006/main" count="213" uniqueCount="141">
  <si>
    <t>Пример 1</t>
  </si>
  <si>
    <t>Пример 2</t>
  </si>
  <si>
    <t>Пример 3</t>
  </si>
  <si>
    <t>Пример 4</t>
  </si>
  <si>
    <t>Пример 5</t>
  </si>
  <si>
    <t>Пример 6</t>
  </si>
  <si>
    <t>Пример 7</t>
  </si>
  <si>
    <t>1 квартал</t>
  </si>
  <si>
    <t>2 квартал</t>
  </si>
  <si>
    <t>3 квартал</t>
  </si>
  <si>
    <t>4 квартал</t>
  </si>
  <si>
    <t>3 шт.</t>
  </si>
  <si>
    <t>4 шт.</t>
  </si>
  <si>
    <t>5 шт.</t>
  </si>
  <si>
    <t>6 шт.</t>
  </si>
  <si>
    <t>7 шт.</t>
  </si>
  <si>
    <t>8 шт.</t>
  </si>
  <si>
    <t>9 шт.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</si>
  <si>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</si>
  <si>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</si>
  <si>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</si>
  <si>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</si>
  <si>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</si>
  <si>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</si>
  <si>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</si>
  <si>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Янв</t>
  </si>
  <si>
    <t>Фев</t>
  </si>
  <si>
    <t>Мар</t>
  </si>
  <si>
    <t>Апр</t>
  </si>
  <si>
    <t>Июн</t>
  </si>
  <si>
    <t>Июл</t>
  </si>
  <si>
    <t>Понедельник</t>
  </si>
  <si>
    <t>Пн</t>
  </si>
  <si>
    <t>Вторник</t>
  </si>
  <si>
    <t>Вт</t>
  </si>
  <si>
    <t>Среда</t>
  </si>
  <si>
    <t>Ср</t>
  </si>
  <si>
    <t>Четверг</t>
  </si>
  <si>
    <t>Чт</t>
  </si>
  <si>
    <t>Пятница</t>
  </si>
  <si>
    <t>Пт</t>
  </si>
  <si>
    <t>Суббота</t>
  </si>
  <si>
    <t>Сб</t>
  </si>
  <si>
    <t>Воскресенье</t>
  </si>
  <si>
    <t>Вс</t>
  </si>
  <si>
    <t>100р.</t>
  </si>
  <si>
    <t>150р.</t>
  </si>
  <si>
    <t>200р.</t>
  </si>
  <si>
    <t>250р.</t>
  </si>
  <si>
    <t>300р.</t>
  </si>
  <si>
    <t>350р.</t>
  </si>
  <si>
    <t>400р.</t>
  </si>
  <si>
    <t>$ 5</t>
  </si>
  <si>
    <t>$ 12</t>
  </si>
  <si>
    <t>$ 19</t>
  </si>
  <si>
    <t>$ 26</t>
  </si>
  <si>
    <t>$ 33</t>
  </si>
  <si>
    <t>$ 40</t>
  </si>
  <si>
    <t>$ 47</t>
  </si>
  <si>
    <t>Сентябрь</t>
  </si>
  <si>
    <t>Арифметическая прогрессия</t>
  </si>
  <si>
    <t>Геометрическая прогрессия</t>
  </si>
  <si>
    <t>Декабрь</t>
  </si>
  <si>
    <t>Вычисление n-ого члена и суммы членов арифмитической прогрессии</t>
  </si>
  <si>
    <t>d</t>
  </si>
  <si>
    <t>n</t>
  </si>
  <si>
    <t>A(n)</t>
  </si>
  <si>
    <t>S(n)</t>
  </si>
  <si>
    <t>ОТЧЕТ</t>
  </si>
  <si>
    <t>Август</t>
  </si>
  <si>
    <t>Всего</t>
  </si>
  <si>
    <t>Приход</t>
  </si>
  <si>
    <t>Затраты на товары</t>
  </si>
  <si>
    <t>Полная выручка</t>
  </si>
  <si>
    <t>Статьи расходов</t>
  </si>
  <si>
    <t>Реклама</t>
  </si>
  <si>
    <t>Аренда помещений</t>
  </si>
  <si>
    <t>Налоги и льготы</t>
  </si>
  <si>
    <t>Процент по кредитам</t>
  </si>
  <si>
    <t>Расходы Всего</t>
  </si>
  <si>
    <t>Прибыль</t>
  </si>
  <si>
    <t>Фирма "Запад". Торговый оборот за 10 лет</t>
  </si>
  <si>
    <t>Дата</t>
  </si>
  <si>
    <t>Годовые показатели</t>
  </si>
  <si>
    <t>Год</t>
  </si>
  <si>
    <t>Торговля</t>
  </si>
  <si>
    <t>Производство</t>
  </si>
  <si>
    <t>Доля торговли</t>
  </si>
  <si>
    <t xml:space="preserve">                                          ПРОДАЖИ ЗА 6-12 ЯНВАРЯ 2015 ГОДА</t>
  </si>
  <si>
    <t>ФИРМА "СЕВЕР"</t>
  </si>
  <si>
    <t>Драма</t>
  </si>
  <si>
    <t>Комедия</t>
  </si>
  <si>
    <t>Научная фантастика</t>
  </si>
  <si>
    <t>Боевик</t>
  </si>
  <si>
    <t>Другие</t>
  </si>
  <si>
    <t>Итого</t>
  </si>
  <si>
    <t>Налог</t>
  </si>
  <si>
    <t>Ставка налога</t>
  </si>
  <si>
    <t>Объём сбыта по кварталам</t>
  </si>
  <si>
    <t>I</t>
  </si>
  <si>
    <t>II</t>
  </si>
  <si>
    <t>III</t>
  </si>
  <si>
    <t>IV</t>
  </si>
  <si>
    <t>цена еденицы
продукции</t>
  </si>
  <si>
    <t>себестоимость 
еденицы
 продукции</t>
  </si>
  <si>
    <t>Продукция 1</t>
  </si>
  <si>
    <t>Продукция 2</t>
  </si>
  <si>
    <t xml:space="preserve"> Удельный вес </t>
  </si>
  <si>
    <t>затрат в</t>
  </si>
  <si>
    <t xml:space="preserve">                доходе</t>
  </si>
  <si>
    <t>оборота</t>
  </si>
  <si>
    <t>Накладные
расходы</t>
  </si>
  <si>
    <t>Продукция1</t>
  </si>
  <si>
    <t>Квартал</t>
  </si>
  <si>
    <t>Объём сбыта</t>
  </si>
  <si>
    <t>Доход от оборота</t>
  </si>
  <si>
    <t>Себестоимость
реализованной
продукции</t>
  </si>
  <si>
    <t>Затраты на рекламу</t>
  </si>
  <si>
    <t>Накладные расходы</t>
  </si>
  <si>
    <r>
      <t xml:space="preserve">      </t>
    </r>
    <r>
      <rPr>
        <b/>
        <sz val="14"/>
        <color theme="1"/>
        <rFont val="Calibri"/>
        <family val="2"/>
        <charset val="204"/>
        <scheme val="minor"/>
      </rPr>
      <t xml:space="preserve">  Годовой отчет</t>
    </r>
  </si>
  <si>
    <t>Продукция 1 + Продукция 2</t>
  </si>
  <si>
    <t>Объем сбыта</t>
  </si>
  <si>
    <t>Расчет заробной платы</t>
  </si>
  <si>
    <t>Должность</t>
  </si>
  <si>
    <t>Тариф</t>
  </si>
  <si>
    <t>Оклад</t>
  </si>
  <si>
    <t>Премия</t>
  </si>
  <si>
    <t>Надбавка</t>
  </si>
  <si>
    <t>Начислено</t>
  </si>
  <si>
    <t>Под. Налог</t>
  </si>
  <si>
    <t>Профсоюз</t>
  </si>
  <si>
    <t>К выдаче</t>
  </si>
  <si>
    <t>Профессор</t>
  </si>
  <si>
    <t>Доцент</t>
  </si>
  <si>
    <t>Ассистент</t>
  </si>
  <si>
    <t>Преподаватель</t>
  </si>
  <si>
    <t>Базовая велечина</t>
  </si>
  <si>
    <t>% надбавки</t>
  </si>
  <si>
    <t>% премии</t>
  </si>
  <si>
    <t>% налога</t>
  </si>
  <si>
    <t>% взноса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</si>
</sst>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,&quot;тыс. руб.&quot;"/>
    <numFmt numFmtId="165" formatCode="#,##0.00\ &quot;₽&quot;"/>
    <numFmt numFmtId="166" formatCode="[$-419]d\ mmm\ 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15" fontId="0" fillId="0" borderId="1" xfId="0" applyNumberFormat="1" applyBorder="1"/>
    <xf numFmtId="18" fontId="0" fillId="0" borderId="1" xfId="0" applyNumberFormat="1" applyBorder="1"/>
    <xf numFmtId="17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0" xfId="0" applyFont="1"/>
    <xf numFmtId="0" fontId="2" fillId="0" borderId="7" xfId="0" applyFont="1" applyBorder="1"/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7" xfId="0" applyNumberFormat="1" applyFont="1" applyBorder="1"/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5" fillId="0" borderId="15" xfId="0" applyNumberFormat="1" applyFont="1" applyBorder="1" applyAlignment="1">
      <alignment horizontal="center"/>
    </xf>
    <xf numFmtId="0" fontId="4" fillId="0" borderId="12" xfId="0" applyFont="1" applyBorder="1"/>
    <xf numFmtId="10" fontId="4" fillId="0" borderId="1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2" borderId="7" xfId="0" applyFill="1" applyBorder="1"/>
    <xf numFmtId="166" fontId="0" fillId="2" borderId="7" xfId="0" applyNumberFormat="1" applyFill="1" applyBorder="1"/>
    <xf numFmtId="0" fontId="0" fillId="0" borderId="2" xfId="0" applyBorder="1"/>
    <xf numFmtId="0" fontId="0" fillId="2" borderId="4" xfId="0" applyFill="1" applyBorder="1"/>
    <xf numFmtId="10" fontId="0" fillId="0" borderId="1" xfId="0" applyNumberFormat="1" applyBorder="1"/>
    <xf numFmtId="0" fontId="8" fillId="3" borderId="7" xfId="0" applyFon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3" fontId="0" fillId="0" borderId="7" xfId="0" applyNumberFormat="1" applyBorder="1" applyAlignment="1">
      <alignment horizontal="center"/>
    </xf>
    <xf numFmtId="0" fontId="4" fillId="4" borderId="8" xfId="0" applyFont="1" applyFill="1" applyBorder="1" applyAlignment="1">
      <alignment horizontal="right" wrapText="1"/>
    </xf>
    <xf numFmtId="0" fontId="4" fillId="4" borderId="20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165" fontId="0" fillId="2" borderId="4" xfId="0" applyNumberFormat="1" applyFill="1" applyBorder="1"/>
    <xf numFmtId="0" fontId="4" fillId="0" borderId="21" xfId="0" applyFont="1" applyBorder="1"/>
    <xf numFmtId="0" fontId="0" fillId="0" borderId="22" xfId="0" applyBorder="1"/>
    <xf numFmtId="0" fontId="4" fillId="0" borderId="23" xfId="0" applyFont="1" applyBorder="1"/>
    <xf numFmtId="0" fontId="0" fillId="0" borderId="24" xfId="0" applyBorder="1"/>
    <xf numFmtId="3" fontId="0" fillId="0" borderId="2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2" fontId="0" fillId="0" borderId="1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30" xfId="0" applyBorder="1"/>
    <xf numFmtId="2" fontId="0" fillId="0" borderId="4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31" xfId="0" applyNumberFormat="1" applyBorder="1" applyAlignment="1">
      <alignment horizontal="center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.00\ &quot;₽&quot;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#,##0.00\ &quot;₽&quot;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D11" totalsRowShown="0" headerRowDxfId="15" headerRowBorderDxfId="14" tableBorderDxfId="13" totalsRowBorderDxfId="12">
  <autoFilter ref="A1:D11" xr:uid="{00000000-0009-0000-0100-000001000000}"/>
  <tableColumns count="4">
    <tableColumn id="1" xr3:uid="{00000000-0010-0000-0000-000001000000}" name="d" dataDxfId="11"/>
    <tableColumn id="2" xr3:uid="{00000000-0010-0000-0000-000002000000}" name="n" dataDxfId="10"/>
    <tableColumn id="3" xr3:uid="{00000000-0010-0000-0000-000003000000}" name="A(n)" dataDxfId="9"/>
    <tableColumn id="4" xr3:uid="{00000000-0010-0000-0000-000004000000}" name="S(n)" dataDxfId="8">
      <calculatedColumnFormula>(C2+$C$2)*B2/2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3" displayName="Таблица13" ref="A4:D15" totalsRowShown="0" headerRowDxfId="7" headerRowBorderDxfId="6" tableBorderDxfId="5" totalsRowBorderDxfId="4">
  <autoFilter ref="A4:D15" xr:uid="{00000000-0009-0000-0100-000002000000}"/>
  <tableColumns count="4">
    <tableColumn id="1" xr3:uid="{00000000-0010-0000-0100-000001000000}" name="Год" dataDxfId="3"/>
    <tableColumn id="2" xr3:uid="{00000000-0010-0000-0100-000002000000}" name="Торговля" dataDxfId="2"/>
    <tableColumn id="3" xr3:uid="{00000000-0010-0000-0100-000003000000}" name="Производство" dataDxfId="1"/>
    <tableColumn id="4" xr3:uid="{00000000-0010-0000-0100-000004000000}" name="Доля торговли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A11" sqref="A11"/>
    </sheetView>
  </sheetViews>
  <sheetFormatPr defaultRowHeight="15" x14ac:dyDescent="0.25"/>
  <cols>
    <col min="5" max="5" width="12" customWidth="1"/>
  </cols>
  <sheetData>
    <row r="1" spans="1: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7</v>
      </c>
      <c r="F3" s="1" t="s">
        <v>8</v>
      </c>
      <c r="G3" s="1" t="s">
        <v>9</v>
      </c>
    </row>
    <row r="4" spans="1:7" x14ac:dyDescent="0.2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</row>
    <row r="8" spans="1:7" x14ac:dyDescent="0.25">
      <c r="A8" s="1" t="s">
        <v>25</v>
      </c>
      <c r="B8" s="1" t="s">
        <v>26</v>
      </c>
      <c r="C8" s="1" t="s">
        <v>27</v>
      </c>
      <c r="D8" s="1" t="s">
        <v>28</v>
      </c>
      <c r="E8" s="1" t="s">
        <v>22</v>
      </c>
      <c r="F8" s="1" t="s">
        <v>29</v>
      </c>
      <c r="G8" s="1" t="s">
        <v>30</v>
      </c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 t="s">
        <v>31</v>
      </c>
      <c r="B11" s="1"/>
      <c r="C11" s="1" t="s">
        <v>32</v>
      </c>
      <c r="D11" s="1"/>
      <c r="E11" s="3">
        <v>36162</v>
      </c>
      <c r="F11" s="4">
        <v>36162</v>
      </c>
      <c r="G11" s="5">
        <v>9.375E-2</v>
      </c>
    </row>
    <row r="12" spans="1:7" x14ac:dyDescent="0.25">
      <c r="A12" s="1" t="s">
        <v>33</v>
      </c>
      <c r="B12" s="1"/>
      <c r="C12" s="1" t="s">
        <v>34</v>
      </c>
      <c r="D12" s="1"/>
      <c r="E12" s="3">
        <v>36163</v>
      </c>
      <c r="F12" s="4">
        <v>36163</v>
      </c>
      <c r="G12" s="5">
        <v>0.13541666666666699</v>
      </c>
    </row>
    <row r="13" spans="1:7" x14ac:dyDescent="0.25">
      <c r="A13" s="1" t="s">
        <v>35</v>
      </c>
      <c r="B13" s="1"/>
      <c r="C13" s="1" t="s">
        <v>36</v>
      </c>
      <c r="D13" s="1"/>
      <c r="E13" s="3">
        <v>36164</v>
      </c>
      <c r="F13" s="4">
        <v>36164</v>
      </c>
      <c r="G13" s="5">
        <v>0.17708333333333301</v>
      </c>
    </row>
    <row r="14" spans="1:7" x14ac:dyDescent="0.25">
      <c r="A14" s="1" t="s">
        <v>37</v>
      </c>
      <c r="B14" s="1"/>
      <c r="C14" s="1" t="s">
        <v>38</v>
      </c>
      <c r="D14" s="1"/>
      <c r="E14" s="3">
        <v>36165</v>
      </c>
      <c r="F14" s="4">
        <v>36165</v>
      </c>
      <c r="G14" s="5">
        <v>0.21875</v>
      </c>
    </row>
    <row r="15" spans="1:7" x14ac:dyDescent="0.25">
      <c r="A15" s="1" t="s">
        <v>39</v>
      </c>
      <c r="B15" s="1"/>
      <c r="C15" s="1" t="s">
        <v>40</v>
      </c>
      <c r="D15" s="1"/>
      <c r="E15" s="3">
        <v>36166</v>
      </c>
      <c r="F15" s="4">
        <v>36166</v>
      </c>
      <c r="G15" s="5">
        <v>0.26041666666666702</v>
      </c>
    </row>
    <row r="16" spans="1:7" x14ac:dyDescent="0.25">
      <c r="A16" s="1" t="s">
        <v>41</v>
      </c>
      <c r="B16" s="1"/>
      <c r="C16" s="1" t="s">
        <v>42</v>
      </c>
      <c r="D16" s="1"/>
      <c r="E16" s="3">
        <v>36167</v>
      </c>
      <c r="F16" s="4">
        <v>36167</v>
      </c>
      <c r="G16" s="5">
        <v>0.30208333333333298</v>
      </c>
    </row>
    <row r="17" spans="1:7" x14ac:dyDescent="0.25">
      <c r="A17" s="1" t="s">
        <v>43</v>
      </c>
      <c r="B17" s="1"/>
      <c r="C17" s="1" t="s">
        <v>44</v>
      </c>
      <c r="D17" s="1"/>
      <c r="E17" s="3">
        <v>36168</v>
      </c>
      <c r="F17" s="4">
        <v>36168</v>
      </c>
      <c r="G17" s="5">
        <v>0.34375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A6" sqref="A6"/>
    </sheetView>
  </sheetViews>
  <sheetFormatPr defaultRowHeight="15" x14ac:dyDescent="0.25"/>
  <cols>
    <col min="1" max="1" width="18" customWidth="1"/>
    <col min="2" max="2" width="14" customWidth="1"/>
  </cols>
  <sheetData>
    <row r="1" spans="1:2" ht="15.75" x14ac:dyDescent="0.25">
      <c r="A1" s="74" t="s">
        <v>107</v>
      </c>
      <c r="B1" s="75" t="s">
        <v>108</v>
      </c>
    </row>
    <row r="2" spans="1:2" ht="15.75" x14ac:dyDescent="0.25">
      <c r="A2" s="76" t="s">
        <v>109</v>
      </c>
      <c r="B2" s="77" t="s">
        <v>110</v>
      </c>
    </row>
    <row r="3" spans="1:2" x14ac:dyDescent="0.25">
      <c r="A3" s="1" t="s">
        <v>75</v>
      </c>
      <c r="B3" s="78">
        <v>7.0000000000000007E-2</v>
      </c>
    </row>
    <row r="4" spans="1:2" ht="30.75" customHeight="1" x14ac:dyDescent="0.25">
      <c r="A4" s="79" t="s">
        <v>111</v>
      </c>
      <c r="B4" s="78">
        <v>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D16" sqref="D16"/>
    </sheetView>
  </sheetViews>
  <sheetFormatPr defaultRowHeight="15" x14ac:dyDescent="0.25"/>
  <cols>
    <col min="1" max="1" width="19.7109375" bestFit="1" customWidth="1"/>
    <col min="2" max="2" width="10.28515625" bestFit="1" customWidth="1"/>
    <col min="3" max="3" width="12" bestFit="1" customWidth="1"/>
    <col min="4" max="4" width="10.5703125" customWidth="1"/>
    <col min="5" max="5" width="8.28515625" customWidth="1"/>
  </cols>
  <sheetData>
    <row r="1" spans="1:5" x14ac:dyDescent="0.25">
      <c r="C1" t="s">
        <v>112</v>
      </c>
    </row>
    <row r="2" spans="1:5" x14ac:dyDescent="0.25">
      <c r="A2" s="1" t="s">
        <v>113</v>
      </c>
      <c r="B2" s="8" t="s">
        <v>99</v>
      </c>
      <c r="C2" s="8" t="s">
        <v>100</v>
      </c>
      <c r="D2" s="8" t="s">
        <v>101</v>
      </c>
      <c r="E2" s="8" t="s">
        <v>102</v>
      </c>
    </row>
    <row r="3" spans="1:5" x14ac:dyDescent="0.25">
      <c r="A3" s="1" t="s">
        <v>114</v>
      </c>
      <c r="B3" s="2">
        <f>'Исходные данные'!C$4</f>
        <v>3592</v>
      </c>
      <c r="C3" s="2">
        <f>'Исходные данные'!D$4</f>
        <v>4390</v>
      </c>
      <c r="D3" s="2">
        <f>'Исходные данные'!E$4</f>
        <v>3780</v>
      </c>
      <c r="E3" s="2">
        <f>'Исходные данные'!F$4</f>
        <v>4780</v>
      </c>
    </row>
    <row r="4" spans="1:5" x14ac:dyDescent="0.25">
      <c r="A4" s="1" t="s">
        <v>115</v>
      </c>
      <c r="B4" s="1">
        <f>'Исходные данные'!$G$4*'Продукция 1'!B$3</f>
        <v>143680</v>
      </c>
      <c r="C4" s="1">
        <f>'Исходные данные'!$G$4*'Продукция 1'!C$3</f>
        <v>175600</v>
      </c>
      <c r="D4" s="1">
        <f>'Исходные данные'!$G$4*'Продукция 1'!D$3</f>
        <v>151200</v>
      </c>
      <c r="E4" s="1">
        <f>'Исходные данные'!$G$4*'Продукция 1'!E$3</f>
        <v>191200</v>
      </c>
    </row>
    <row r="5" spans="1:5" ht="48.75" customHeight="1" x14ac:dyDescent="0.25">
      <c r="A5" s="79" t="s">
        <v>116</v>
      </c>
      <c r="B5" s="2">
        <f>'Исходные данные'!$H$4*'Продукция 1'!B$3</f>
        <v>104168</v>
      </c>
      <c r="C5" s="2">
        <f>'Исходные данные'!$H$4*'Продукция 1'!C$3</f>
        <v>127310</v>
      </c>
      <c r="D5" s="2">
        <f>'Исходные данные'!$H$4*'Продукция 1'!D$3</f>
        <v>109620</v>
      </c>
      <c r="E5" s="2">
        <f>'Исходные данные'!$H$4*'Продукция 1'!E$3</f>
        <v>138620</v>
      </c>
    </row>
    <row r="6" spans="1:5" x14ac:dyDescent="0.25">
      <c r="A6" s="1" t="s">
        <v>117</v>
      </c>
      <c r="B6" s="1">
        <f>'Удельный вес'!$B3*'Продукция 1'!B$4</f>
        <v>10057.6</v>
      </c>
      <c r="C6" s="1">
        <f>'Удельный вес'!$B3*'Продукция 1'!C$4</f>
        <v>12292.000000000002</v>
      </c>
      <c r="D6" s="1">
        <f>'Удельный вес'!$B3*'Продукция 1'!D$4</f>
        <v>10584.000000000002</v>
      </c>
      <c r="E6" s="1">
        <f>'Удельный вес'!$B3*'Продукция 1'!E$4</f>
        <v>13384.000000000002</v>
      </c>
    </row>
    <row r="7" spans="1:5" x14ac:dyDescent="0.25">
      <c r="A7" s="1" t="s">
        <v>118</v>
      </c>
      <c r="B7" s="1">
        <f>'Удельный вес'!$B4*'Продукция 1'!B$4</f>
        <v>21552</v>
      </c>
      <c r="C7" s="1">
        <f>'Удельный вес'!$B4*'Продукция 1'!C$4</f>
        <v>26340</v>
      </c>
      <c r="D7" s="1">
        <f>'Удельный вес'!$B4*'Продукция 1'!D$4</f>
        <v>22680</v>
      </c>
      <c r="E7" s="1">
        <f>'Удельный вес'!$B4*'Продукция 1'!E$4</f>
        <v>28680</v>
      </c>
    </row>
    <row r="8" spans="1:5" x14ac:dyDescent="0.25">
      <c r="A8" s="1" t="s">
        <v>80</v>
      </c>
      <c r="B8" s="2">
        <f>B4-(B5+B6+B7)</f>
        <v>7902.3999999999942</v>
      </c>
      <c r="C8" s="2">
        <f t="shared" ref="C8:E8" si="0">C4-(C5+C6+C7)</f>
        <v>9658</v>
      </c>
      <c r="D8" s="2">
        <f t="shared" si="0"/>
        <v>8316</v>
      </c>
      <c r="E8" s="2">
        <f t="shared" si="0"/>
        <v>10516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workbookViewId="0">
      <selection activeCell="C37" sqref="C37"/>
    </sheetView>
  </sheetViews>
  <sheetFormatPr defaultRowHeight="15" x14ac:dyDescent="0.25"/>
  <cols>
    <col min="1" max="1" width="19.7109375" bestFit="1" customWidth="1"/>
    <col min="2" max="2" width="10.28515625" bestFit="1" customWidth="1"/>
    <col min="3" max="3" width="12" bestFit="1" customWidth="1"/>
    <col min="4" max="5" width="7.42578125" bestFit="1" customWidth="1"/>
  </cols>
  <sheetData>
    <row r="1" spans="1:5" x14ac:dyDescent="0.25">
      <c r="C1" t="s">
        <v>106</v>
      </c>
    </row>
    <row r="2" spans="1:5" x14ac:dyDescent="0.25">
      <c r="A2" s="1" t="s">
        <v>113</v>
      </c>
      <c r="B2" s="8" t="s">
        <v>99</v>
      </c>
      <c r="C2" s="8" t="s">
        <v>100</v>
      </c>
      <c r="D2" s="8" t="s">
        <v>101</v>
      </c>
      <c r="E2" s="8" t="s">
        <v>102</v>
      </c>
    </row>
    <row r="3" spans="1:5" x14ac:dyDescent="0.25">
      <c r="A3" s="1" t="s">
        <v>114</v>
      </c>
      <c r="B3" s="2">
        <f>'Исходные данные'!C$5</f>
        <v>5440</v>
      </c>
      <c r="C3" s="2">
        <f>'Исходные данные'!D$5</f>
        <v>6150</v>
      </c>
      <c r="D3" s="2">
        <f>'Исходные данные'!E$5</f>
        <v>6050</v>
      </c>
      <c r="E3" s="2">
        <f>'Исходные данные'!F$5</f>
        <v>5980</v>
      </c>
    </row>
    <row r="4" spans="1:5" x14ac:dyDescent="0.25">
      <c r="A4" s="1" t="s">
        <v>115</v>
      </c>
      <c r="B4" s="1">
        <f>'Исходные данные'!$G$5*B$3</f>
        <v>174080</v>
      </c>
      <c r="C4" s="1">
        <f>'Исходные данные'!$G$5*C$3</f>
        <v>196800</v>
      </c>
      <c r="D4" s="1">
        <f>'Исходные данные'!$G$5*D$3</f>
        <v>193600</v>
      </c>
      <c r="E4" s="1">
        <f>'Исходные данные'!$G$5*E$3</f>
        <v>191360</v>
      </c>
    </row>
    <row r="5" spans="1:5" ht="46.5" customHeight="1" x14ac:dyDescent="0.25">
      <c r="A5" s="79" t="s">
        <v>116</v>
      </c>
      <c r="B5" s="2">
        <f>'Исходные данные'!$H$5*B3</f>
        <v>119680</v>
      </c>
      <c r="C5" s="2">
        <f>'Исходные данные'!$H$5*C3</f>
        <v>135300</v>
      </c>
      <c r="D5" s="2">
        <f>'Исходные данные'!$H$5*D3</f>
        <v>133100</v>
      </c>
      <c r="E5" s="2">
        <f>'Исходные данные'!$H$5*E3</f>
        <v>131560</v>
      </c>
    </row>
    <row r="6" spans="1:5" x14ac:dyDescent="0.25">
      <c r="A6" s="1" t="s">
        <v>117</v>
      </c>
      <c r="B6" s="1">
        <f>'Удельный вес'!$B3*B$4</f>
        <v>12185.6</v>
      </c>
      <c r="C6" s="1">
        <f>'Удельный вес'!$B3*C$4</f>
        <v>13776.000000000002</v>
      </c>
      <c r="D6" s="1">
        <f>'Удельный вес'!$B3*D$4</f>
        <v>13552.000000000002</v>
      </c>
      <c r="E6" s="1">
        <f>'Удельный вес'!$B3*E$4</f>
        <v>13395.2</v>
      </c>
    </row>
    <row r="7" spans="1:5" x14ac:dyDescent="0.25">
      <c r="A7" s="1" t="s">
        <v>118</v>
      </c>
      <c r="B7" s="1">
        <f>'Удельный вес'!$B4*B$4</f>
        <v>26112</v>
      </c>
      <c r="C7" s="1">
        <f>'Удельный вес'!$B4*C$4</f>
        <v>29520</v>
      </c>
      <c r="D7" s="1">
        <f>'Удельный вес'!$B4*D$4</f>
        <v>29040</v>
      </c>
      <c r="E7" s="1">
        <f>'Удельный вес'!$B4*E$4</f>
        <v>28704</v>
      </c>
    </row>
    <row r="8" spans="1:5" x14ac:dyDescent="0.25">
      <c r="A8" s="1" t="s">
        <v>80</v>
      </c>
      <c r="B8" s="2">
        <f>B4-(B5+B6+B7)</f>
        <v>16102.399999999994</v>
      </c>
      <c r="C8" s="2">
        <f t="shared" ref="C8:E8" si="0">C4-(C5+C6+C7)</f>
        <v>18204</v>
      </c>
      <c r="D8" s="2">
        <f t="shared" si="0"/>
        <v>17908</v>
      </c>
      <c r="E8" s="2">
        <f t="shared" si="0"/>
        <v>17700.799999999988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8"/>
  <sheetViews>
    <sheetView workbookViewId="0">
      <selection activeCell="D14" sqref="D14"/>
    </sheetView>
  </sheetViews>
  <sheetFormatPr defaultRowHeight="15" x14ac:dyDescent="0.25"/>
  <cols>
    <col min="1" max="1" width="30" bestFit="1" customWidth="1"/>
    <col min="2" max="2" width="8" bestFit="1" customWidth="1"/>
  </cols>
  <sheetData>
    <row r="1" spans="1:2" ht="19.5" thickBot="1" x14ac:dyDescent="0.35">
      <c r="A1" s="84" t="s">
        <v>119</v>
      </c>
      <c r="B1" s="85"/>
    </row>
    <row r="2" spans="1:2" ht="16.5" thickBot="1" x14ac:dyDescent="0.3">
      <c r="A2" s="86" t="s">
        <v>120</v>
      </c>
      <c r="B2" s="87"/>
    </row>
    <row r="3" spans="1:2" x14ac:dyDescent="0.25">
      <c r="A3" s="66" t="s">
        <v>121</v>
      </c>
      <c r="B3" s="88">
        <f>'Продукция 1'!B3:E3+Продукция2!B3:E3</f>
        <v>9032</v>
      </c>
    </row>
    <row r="4" spans="1:2" x14ac:dyDescent="0.25">
      <c r="A4" s="1" t="s">
        <v>115</v>
      </c>
      <c r="B4" s="88">
        <f>'Продукция 1'!B4:E4+Продукция2!B4:E4</f>
        <v>317760</v>
      </c>
    </row>
    <row r="5" spans="1:2" ht="45" x14ac:dyDescent="0.25">
      <c r="A5" s="79" t="s">
        <v>116</v>
      </c>
      <c r="B5" s="88">
        <f>'Продукция 1'!B5:E5+Продукция2!B5:E5</f>
        <v>223848</v>
      </c>
    </row>
    <row r="6" spans="1:2" x14ac:dyDescent="0.25">
      <c r="A6" s="1" t="s">
        <v>117</v>
      </c>
      <c r="B6" s="88">
        <f>'Продукция 1'!B6:E6+Продукция2!B6:E6</f>
        <v>22243.200000000001</v>
      </c>
    </row>
    <row r="7" spans="1:2" x14ac:dyDescent="0.25">
      <c r="A7" s="1" t="s">
        <v>118</v>
      </c>
      <c r="B7" s="88">
        <f>'Продукция 1'!B7:E7+Продукция2!B7:E7</f>
        <v>47664</v>
      </c>
    </row>
    <row r="8" spans="1:2" x14ac:dyDescent="0.25">
      <c r="A8" s="1" t="s">
        <v>80</v>
      </c>
      <c r="B8" s="88">
        <f>'Продукция 1'!B8:E8+Продукция2!B8:E8</f>
        <v>24004.799999999988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"/>
  <sheetViews>
    <sheetView workbookViewId="0">
      <selection activeCell="I6" sqref="I6"/>
    </sheetView>
  </sheetViews>
  <sheetFormatPr defaultRowHeight="15" x14ac:dyDescent="0.25"/>
  <cols>
    <col min="1" max="1" width="17.5703125" bestFit="1" customWidth="1"/>
    <col min="2" max="2" width="11.5703125" bestFit="1" customWidth="1"/>
    <col min="3" max="3" width="10.140625" bestFit="1" customWidth="1"/>
    <col min="5" max="5" width="28.42578125" bestFit="1" customWidth="1"/>
    <col min="6" max="7" width="10.85546875" bestFit="1" customWidth="1"/>
    <col min="8" max="8" width="10.28515625" bestFit="1" customWidth="1"/>
    <col min="9" max="9" width="9.28515625" bestFit="1" customWidth="1"/>
  </cols>
  <sheetData>
    <row r="1" spans="1:9" ht="19.5" thickBot="1" x14ac:dyDescent="0.35">
      <c r="E1" s="63" t="s">
        <v>122</v>
      </c>
    </row>
    <row r="2" spans="1:9" x14ac:dyDescent="0.25">
      <c r="A2" s="89" t="s">
        <v>123</v>
      </c>
      <c r="B2" s="90" t="s">
        <v>124</v>
      </c>
      <c r="C2" s="90" t="s">
        <v>125</v>
      </c>
      <c r="D2" s="90" t="s">
        <v>126</v>
      </c>
      <c r="E2" s="90" t="s">
        <v>127</v>
      </c>
      <c r="F2" s="90" t="s">
        <v>128</v>
      </c>
      <c r="G2" s="90" t="s">
        <v>129</v>
      </c>
      <c r="H2" s="90" t="s">
        <v>130</v>
      </c>
      <c r="I2" s="91" t="s">
        <v>131</v>
      </c>
    </row>
    <row r="3" spans="1:9" x14ac:dyDescent="0.25">
      <c r="A3" s="92" t="s">
        <v>132</v>
      </c>
      <c r="B3" s="8">
        <v>7.54</v>
      </c>
      <c r="C3" s="93">
        <f>Тариф1*Базовая</f>
        <v>158.34</v>
      </c>
      <c r="D3" s="93">
        <f>ПроцентПремии*Оклад1</f>
        <v>39.585000000000001</v>
      </c>
      <c r="E3" s="93">
        <f>ПроцентНадбавки*Оклад1</f>
        <v>15.834000000000001</v>
      </c>
      <c r="F3" s="93">
        <f>Оклад1+Надбавка1+Премия1</f>
        <v>213.75900000000001</v>
      </c>
      <c r="G3" s="93">
        <f>ПроцентНалога * Начислено1</f>
        <v>25.65108</v>
      </c>
      <c r="H3" s="93">
        <f>ПроцентВзноса*Начислено1</f>
        <v>4.2751800000000006</v>
      </c>
      <c r="I3" s="94">
        <f>Начислено1-(ПодоходныйНалог1+Проф1)</f>
        <v>183.83274</v>
      </c>
    </row>
    <row r="4" spans="1:9" x14ac:dyDescent="0.25">
      <c r="A4" s="92" t="s">
        <v>133</v>
      </c>
      <c r="B4" s="8">
        <v>6.59</v>
      </c>
      <c r="C4" s="93">
        <f>Тариф2*Базовая</f>
        <v>138.38999999999999</v>
      </c>
      <c r="D4" s="93">
        <f>ПроцентПремии*Оклад2</f>
        <v>34.597499999999997</v>
      </c>
      <c r="E4" s="93">
        <f>ПроцентНадбавки*Оклад2</f>
        <v>13.838999999999999</v>
      </c>
      <c r="F4" s="93">
        <f>Оклад2+Надбавка2+Премия2</f>
        <v>186.82649999999998</v>
      </c>
      <c r="G4" s="93">
        <f>ПроцентНалога * Начислено2</f>
        <v>22.419179999999997</v>
      </c>
      <c r="H4" s="93">
        <f>ПроцентВзноса*Начислено2</f>
        <v>3.7365299999999997</v>
      </c>
      <c r="I4" s="94">
        <f>Начислено2-(ПодоходныйНалог2+Проф2)</f>
        <v>160.67078999999998</v>
      </c>
    </row>
    <row r="5" spans="1:9" x14ac:dyDescent="0.25">
      <c r="A5" s="92" t="s">
        <v>134</v>
      </c>
      <c r="B5" s="8">
        <v>6.04</v>
      </c>
      <c r="C5" s="93">
        <f>Тариф3*Базовая</f>
        <v>126.84</v>
      </c>
      <c r="D5" s="93">
        <f>ПроцентПремии*Оклад3</f>
        <v>31.71</v>
      </c>
      <c r="E5" s="93">
        <f>ПроцентНадбавки*Оклад3</f>
        <v>12.684000000000001</v>
      </c>
      <c r="F5" s="93">
        <f>Оклад3+Надбавка3+Премия3</f>
        <v>171.23400000000001</v>
      </c>
      <c r="G5" s="93">
        <f>ПроцентНалога * Начислено3</f>
        <v>20.548079999999999</v>
      </c>
      <c r="H5" s="93">
        <f>ПроцентВзноса*Начислено3</f>
        <v>3.4246800000000004</v>
      </c>
      <c r="I5" s="94">
        <f>Начислено3-(ПодоходныйНалог3+Проф3)</f>
        <v>147.26124000000002</v>
      </c>
    </row>
    <row r="6" spans="1:9" ht="15.75" thickBot="1" x14ac:dyDescent="0.3">
      <c r="A6" s="95" t="s">
        <v>135</v>
      </c>
      <c r="B6" s="9">
        <v>5.52</v>
      </c>
      <c r="C6" s="96">
        <f>Тариф4*Базовая</f>
        <v>115.91999999999999</v>
      </c>
      <c r="D6" s="96">
        <f>ПроцентПремии*Оклад4</f>
        <v>28.979999999999997</v>
      </c>
      <c r="E6" s="96">
        <f>ПроцентНадбавки*Оклад4</f>
        <v>11.591999999999999</v>
      </c>
      <c r="F6" s="96">
        <f>Оклад4+Надбавка4+Премия4</f>
        <v>156.49199999999999</v>
      </c>
      <c r="G6" s="96">
        <f>ПроцентНалога * Начислено4</f>
        <v>18.779039999999998</v>
      </c>
      <c r="H6" s="93">
        <f>ПроцентВзноса*Начислено4</f>
        <v>3.1298399999999997</v>
      </c>
      <c r="I6" s="94">
        <f>Начислено4-(ПодоходныйНалог4+Проф4)</f>
        <v>134.58312000000001</v>
      </c>
    </row>
    <row r="7" spans="1:9" ht="15.75" thickBot="1" x14ac:dyDescent="0.3"/>
    <row r="8" spans="1:9" x14ac:dyDescent="0.25">
      <c r="A8" s="89" t="s">
        <v>136</v>
      </c>
      <c r="B8" s="90" t="s">
        <v>137</v>
      </c>
      <c r="C8" s="90" t="s">
        <v>138</v>
      </c>
      <c r="D8" s="90" t="s">
        <v>139</v>
      </c>
      <c r="E8" s="91" t="s">
        <v>140</v>
      </c>
    </row>
    <row r="9" spans="1:9" ht="15.75" thickBot="1" x14ac:dyDescent="0.3">
      <c r="A9" s="97">
        <v>21</v>
      </c>
      <c r="B9" s="98">
        <v>0.1</v>
      </c>
      <c r="C9" s="98">
        <v>0.25</v>
      </c>
      <c r="D9" s="98">
        <v>0.12</v>
      </c>
      <c r="E9" s="99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E19" sqref="E19"/>
    </sheetView>
  </sheetViews>
  <sheetFormatPr defaultRowHeight="15" x14ac:dyDescent="0.25"/>
  <cols>
    <col min="1" max="1" width="16" customWidth="1"/>
    <col min="8" max="8" width="9.140625" customWidth="1"/>
    <col min="9" max="9" width="15.7109375" customWidth="1"/>
  </cols>
  <sheetData>
    <row r="1" spans="1:10" x14ac:dyDescent="0.25">
      <c r="A1" s="1">
        <v>1</v>
      </c>
      <c r="B1" s="1">
        <v>5</v>
      </c>
      <c r="C1" s="1">
        <v>9</v>
      </c>
      <c r="D1" s="1">
        <v>13</v>
      </c>
      <c r="E1" s="1">
        <v>17</v>
      </c>
      <c r="F1" s="1">
        <v>21</v>
      </c>
      <c r="G1" s="1">
        <v>25</v>
      </c>
      <c r="H1" s="1"/>
      <c r="I1" s="1"/>
      <c r="J1" s="1"/>
    </row>
    <row r="2" spans="1:10" x14ac:dyDescent="0.25">
      <c r="A2" s="6">
        <v>36220</v>
      </c>
      <c r="B2" s="6">
        <v>36281</v>
      </c>
      <c r="C2" s="6">
        <v>36342</v>
      </c>
      <c r="D2" s="6">
        <v>36404</v>
      </c>
      <c r="E2" s="6">
        <v>36465</v>
      </c>
      <c r="F2" s="6">
        <v>36526</v>
      </c>
      <c r="G2" s="6">
        <v>36586</v>
      </c>
      <c r="H2" s="6"/>
      <c r="I2" s="6"/>
      <c r="J2" s="6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51</v>
      </c>
      <c r="H4" s="1"/>
      <c r="I4" s="1"/>
      <c r="J4" s="1"/>
    </row>
    <row r="5" spans="1:10" x14ac:dyDescent="0.25">
      <c r="A5" s="1" t="s">
        <v>52</v>
      </c>
      <c r="B5" s="1" t="s">
        <v>53</v>
      </c>
      <c r="C5" s="1" t="s">
        <v>54</v>
      </c>
      <c r="D5" s="1" t="s">
        <v>55</v>
      </c>
      <c r="E5" s="1" t="s">
        <v>56</v>
      </c>
      <c r="F5" s="1" t="s">
        <v>57</v>
      </c>
      <c r="G5" s="1" t="s">
        <v>58</v>
      </c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31</v>
      </c>
      <c r="B7" s="1"/>
      <c r="C7" s="1" t="s">
        <v>59</v>
      </c>
      <c r="D7" s="1"/>
      <c r="E7" s="1" t="s">
        <v>60</v>
      </c>
      <c r="F7" s="1"/>
      <c r="G7" s="1"/>
      <c r="H7" s="1" t="s">
        <v>61</v>
      </c>
      <c r="I7" s="1"/>
      <c r="J7" s="1"/>
    </row>
    <row r="8" spans="1:10" x14ac:dyDescent="0.25">
      <c r="A8" s="1" t="s">
        <v>35</v>
      </c>
      <c r="B8" s="1"/>
      <c r="C8" s="1" t="s">
        <v>62</v>
      </c>
      <c r="D8" s="1"/>
      <c r="E8" s="1">
        <v>1</v>
      </c>
      <c r="F8" s="1">
        <v>-3</v>
      </c>
      <c r="G8" s="1">
        <v>153</v>
      </c>
      <c r="H8" s="1">
        <v>1</v>
      </c>
      <c r="I8" s="1">
        <v>10</v>
      </c>
      <c r="J8" s="1">
        <v>256</v>
      </c>
    </row>
    <row r="9" spans="1:10" x14ac:dyDescent="0.25">
      <c r="A9" s="1" t="s">
        <v>39</v>
      </c>
      <c r="B9" s="1"/>
      <c r="C9" s="1" t="s">
        <v>20</v>
      </c>
      <c r="D9" s="1"/>
      <c r="E9" s="1">
        <v>2</v>
      </c>
      <c r="F9" s="1">
        <v>2</v>
      </c>
      <c r="G9" s="1">
        <v>140</v>
      </c>
      <c r="H9" s="1">
        <v>3</v>
      </c>
      <c r="I9" s="1">
        <v>100</v>
      </c>
      <c r="J9" s="1">
        <v>128</v>
      </c>
    </row>
    <row r="10" spans="1:10" x14ac:dyDescent="0.25">
      <c r="A10" s="1" t="s">
        <v>43</v>
      </c>
      <c r="B10" s="1"/>
      <c r="C10" s="1" t="s">
        <v>23</v>
      </c>
      <c r="D10" s="1"/>
      <c r="E10" s="1">
        <v>3</v>
      </c>
      <c r="F10" s="1">
        <v>7</v>
      </c>
      <c r="G10" s="1">
        <v>127</v>
      </c>
      <c r="H10" s="1">
        <v>9</v>
      </c>
      <c r="I10" s="1">
        <v>1000</v>
      </c>
      <c r="J10" s="1">
        <v>64</v>
      </c>
    </row>
    <row r="11" spans="1:10" x14ac:dyDescent="0.25">
      <c r="A11" s="1" t="s">
        <v>33</v>
      </c>
      <c r="B11" s="1"/>
      <c r="C11" s="1" t="s">
        <v>59</v>
      </c>
      <c r="D11" s="1"/>
      <c r="E11" s="1">
        <v>4</v>
      </c>
      <c r="F11" s="1">
        <v>12</v>
      </c>
      <c r="G11" s="1">
        <v>114</v>
      </c>
      <c r="H11" s="1">
        <v>27</v>
      </c>
      <c r="I11" s="1">
        <v>10000</v>
      </c>
      <c r="J11" s="1">
        <v>32</v>
      </c>
    </row>
    <row r="12" spans="1:10" x14ac:dyDescent="0.25">
      <c r="A12" s="1" t="s">
        <v>37</v>
      </c>
      <c r="B12" s="1"/>
      <c r="C12" s="1" t="s">
        <v>62</v>
      </c>
      <c r="D12" s="1"/>
      <c r="E12" s="1">
        <v>5</v>
      </c>
      <c r="F12" s="1">
        <v>17</v>
      </c>
      <c r="G12" s="1">
        <v>101</v>
      </c>
      <c r="H12" s="1">
        <v>81</v>
      </c>
      <c r="I12" s="1">
        <v>100000</v>
      </c>
      <c r="J12" s="1">
        <v>16</v>
      </c>
    </row>
    <row r="13" spans="1:10" x14ac:dyDescent="0.25">
      <c r="A13" s="1"/>
      <c r="B13" s="1"/>
      <c r="C13" s="1"/>
      <c r="D13" s="1"/>
      <c r="E13" s="1">
        <v>6</v>
      </c>
      <c r="F13" s="1">
        <v>22</v>
      </c>
      <c r="G13" s="1">
        <v>88</v>
      </c>
      <c r="H13" s="1">
        <v>243</v>
      </c>
      <c r="I13" s="1">
        <v>1000000</v>
      </c>
      <c r="J13" s="1">
        <v>8</v>
      </c>
    </row>
    <row r="14" spans="1:10" x14ac:dyDescent="0.25">
      <c r="A14" s="1"/>
      <c r="B14" s="1"/>
      <c r="C14" s="1"/>
      <c r="D14" s="1"/>
      <c r="E14" s="1">
        <v>7</v>
      </c>
      <c r="F14" s="1">
        <v>27</v>
      </c>
      <c r="G14" s="1">
        <v>75</v>
      </c>
      <c r="H14" s="1">
        <v>729</v>
      </c>
      <c r="I14" s="1">
        <v>10000000</v>
      </c>
      <c r="J14" s="1">
        <v>4</v>
      </c>
    </row>
    <row r="15" spans="1:10" x14ac:dyDescent="0.25">
      <c r="A15" s="1"/>
      <c r="B15" s="1"/>
      <c r="C15" s="1"/>
      <c r="D15" s="1"/>
      <c r="E15" s="1">
        <v>8</v>
      </c>
      <c r="F15" s="1">
        <v>32</v>
      </c>
      <c r="G15" s="1">
        <v>62</v>
      </c>
      <c r="H15" s="1">
        <v>2187</v>
      </c>
      <c r="I15" s="1">
        <v>100000000</v>
      </c>
      <c r="J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A2" sqref="A2:D12"/>
    </sheetView>
  </sheetViews>
  <sheetFormatPr defaultRowHeight="15" x14ac:dyDescent="0.25"/>
  <sheetData>
    <row r="1" spans="1:7" ht="15.75" thickBot="1" x14ac:dyDescent="0.3">
      <c r="A1" s="7" t="s">
        <v>63</v>
      </c>
      <c r="B1" s="7"/>
      <c r="C1" s="11"/>
      <c r="D1" s="12"/>
      <c r="E1" s="7"/>
      <c r="F1" s="7"/>
      <c r="G1" s="7"/>
    </row>
    <row r="2" spans="1:7" ht="15.75" thickBot="1" x14ac:dyDescent="0.3">
      <c r="A2" s="13" t="s">
        <v>64</v>
      </c>
      <c r="B2" s="13" t="s">
        <v>65</v>
      </c>
      <c r="C2" s="13" t="s">
        <v>66</v>
      </c>
      <c r="D2" s="13" t="s">
        <v>67</v>
      </c>
      <c r="E2" s="7"/>
      <c r="F2" s="7"/>
      <c r="G2" s="7"/>
    </row>
    <row r="3" spans="1:7" ht="15.75" thickBot="1" x14ac:dyDescent="0.3">
      <c r="A3" s="13">
        <v>2</v>
      </c>
      <c r="B3" s="13">
        <v>1</v>
      </c>
      <c r="C3" s="13">
        <v>1</v>
      </c>
      <c r="D3" s="13"/>
      <c r="E3" s="7"/>
      <c r="F3" s="7"/>
      <c r="G3" s="7"/>
    </row>
    <row r="4" spans="1:7" ht="15.75" thickBot="1" x14ac:dyDescent="0.3">
      <c r="A4" s="13">
        <v>2</v>
      </c>
      <c r="B4" s="13">
        <v>2</v>
      </c>
      <c r="C4" s="13">
        <v>3</v>
      </c>
      <c r="D4" s="13"/>
      <c r="E4" s="7"/>
      <c r="F4" s="7"/>
      <c r="G4" s="7"/>
    </row>
    <row r="5" spans="1:7" ht="15.75" thickBot="1" x14ac:dyDescent="0.3">
      <c r="A5" s="13">
        <v>2</v>
      </c>
      <c r="B5" s="13">
        <v>3</v>
      </c>
      <c r="C5" s="13">
        <v>5</v>
      </c>
      <c r="D5" s="13"/>
      <c r="E5" s="7"/>
      <c r="F5" s="7"/>
      <c r="G5" s="7"/>
    </row>
    <row r="6" spans="1:7" ht="15.75" thickBot="1" x14ac:dyDescent="0.3">
      <c r="A6" s="13">
        <v>2</v>
      </c>
      <c r="B6" s="13">
        <v>4</v>
      </c>
      <c r="C6" s="13">
        <v>7</v>
      </c>
      <c r="D6" s="13"/>
      <c r="E6" s="7"/>
      <c r="F6" s="7"/>
      <c r="G6" s="7"/>
    </row>
    <row r="7" spans="1:7" ht="15.75" thickBot="1" x14ac:dyDescent="0.3">
      <c r="A7" s="13">
        <v>2</v>
      </c>
      <c r="B7" s="13">
        <v>5</v>
      </c>
      <c r="C7" s="13">
        <v>9</v>
      </c>
      <c r="D7" s="13"/>
      <c r="E7" s="7"/>
      <c r="F7" s="7"/>
      <c r="G7" s="7"/>
    </row>
    <row r="8" spans="1:7" ht="15.75" thickBot="1" x14ac:dyDescent="0.3">
      <c r="A8" s="13">
        <v>2</v>
      </c>
      <c r="B8" s="13">
        <v>6</v>
      </c>
      <c r="C8" s="13">
        <v>11</v>
      </c>
      <c r="D8" s="13"/>
      <c r="E8" s="7"/>
      <c r="F8" s="7"/>
      <c r="G8" s="7"/>
    </row>
    <row r="9" spans="1:7" ht="15.75" thickBot="1" x14ac:dyDescent="0.3">
      <c r="A9" s="13">
        <v>2</v>
      </c>
      <c r="B9" s="13">
        <v>7</v>
      </c>
      <c r="C9" s="13">
        <v>13</v>
      </c>
      <c r="D9" s="13"/>
      <c r="E9" s="7"/>
      <c r="F9" s="7"/>
      <c r="G9" s="7"/>
    </row>
    <row r="10" spans="1:7" ht="15.75" thickBot="1" x14ac:dyDescent="0.3">
      <c r="A10" s="13">
        <v>2</v>
      </c>
      <c r="B10" s="13">
        <v>8</v>
      </c>
      <c r="C10" s="13">
        <v>15</v>
      </c>
      <c r="D10" s="13"/>
      <c r="E10" s="7"/>
      <c r="F10" s="7"/>
      <c r="G10" s="7"/>
    </row>
    <row r="11" spans="1:7" ht="15.75" thickBot="1" x14ac:dyDescent="0.3">
      <c r="A11" s="13">
        <v>2</v>
      </c>
      <c r="B11" s="13">
        <v>9</v>
      </c>
      <c r="C11" s="13">
        <v>17</v>
      </c>
      <c r="D11" s="13"/>
      <c r="E11" s="7"/>
      <c r="F11" s="7"/>
      <c r="G11" s="7"/>
    </row>
    <row r="12" spans="1:7" ht="15.75" thickBot="1" x14ac:dyDescent="0.3">
      <c r="A12" s="13">
        <v>2</v>
      </c>
      <c r="B12" s="13">
        <v>10</v>
      </c>
      <c r="C12" s="13">
        <v>19</v>
      </c>
      <c r="D12" s="14"/>
      <c r="E12" s="7"/>
      <c r="F12" s="7"/>
      <c r="G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E38" sqref="E38"/>
    </sheetView>
  </sheetViews>
  <sheetFormatPr defaultRowHeight="15" x14ac:dyDescent="0.25"/>
  <cols>
    <col min="2" max="2" width="21.85546875" customWidth="1"/>
  </cols>
  <sheetData>
    <row r="1" spans="1:9" ht="15.75" thickBot="1" x14ac:dyDescent="0.3">
      <c r="A1" s="15" t="s">
        <v>68</v>
      </c>
    </row>
    <row r="2" spans="1:9" ht="15.75" thickBot="1" x14ac:dyDescent="0.3">
      <c r="B2" s="16"/>
      <c r="C2" s="17" t="s">
        <v>20</v>
      </c>
      <c r="D2" s="18" t="s">
        <v>21</v>
      </c>
      <c r="E2" s="18" t="s">
        <v>22</v>
      </c>
      <c r="F2" s="17" t="s">
        <v>23</v>
      </c>
      <c r="G2" s="18" t="s">
        <v>24</v>
      </c>
      <c r="H2" s="17" t="s">
        <v>69</v>
      </c>
      <c r="I2" s="17" t="s">
        <v>70</v>
      </c>
    </row>
    <row r="3" spans="1:9" ht="15.75" thickBot="1" x14ac:dyDescent="0.3">
      <c r="B3" s="19" t="s">
        <v>71</v>
      </c>
      <c r="C3" s="20">
        <v>32560</v>
      </c>
      <c r="D3" s="19">
        <v>33038</v>
      </c>
      <c r="E3" s="19">
        <v>33634</v>
      </c>
      <c r="F3" s="20">
        <v>34037</v>
      </c>
      <c r="G3" s="19">
        <v>34547</v>
      </c>
      <c r="H3" s="20">
        <v>36066</v>
      </c>
      <c r="I3" s="21"/>
    </row>
    <row r="4" spans="1:9" ht="15.75" thickBot="1" x14ac:dyDescent="0.3">
      <c r="B4" s="22" t="s">
        <v>72</v>
      </c>
      <c r="C4" s="23">
        <v>19316</v>
      </c>
      <c r="D4" s="22">
        <v>19490</v>
      </c>
      <c r="E4" s="22">
        <v>19665</v>
      </c>
      <c r="F4" s="23">
        <v>19842</v>
      </c>
      <c r="G4" s="22">
        <v>20021</v>
      </c>
      <c r="H4" s="23">
        <v>20201</v>
      </c>
      <c r="I4" s="24"/>
    </row>
    <row r="5" spans="1:9" ht="15.75" thickBot="1" x14ac:dyDescent="0.3">
      <c r="B5" s="25" t="s">
        <v>73</v>
      </c>
      <c r="C5" s="26"/>
      <c r="D5" s="25"/>
      <c r="E5" s="25"/>
      <c r="F5" s="26"/>
      <c r="G5" s="25"/>
      <c r="H5" s="26"/>
      <c r="I5" s="27"/>
    </row>
    <row r="6" spans="1:9" ht="15.75" thickBot="1" x14ac:dyDescent="0.3">
      <c r="B6" s="25" t="s">
        <v>74</v>
      </c>
      <c r="C6" s="26"/>
      <c r="D6" s="25"/>
      <c r="E6" s="25"/>
      <c r="F6" s="26"/>
      <c r="G6" s="25"/>
      <c r="H6" s="26"/>
      <c r="I6" s="27"/>
    </row>
    <row r="7" spans="1:9" ht="15.75" thickBot="1" x14ac:dyDescent="0.3">
      <c r="B7" s="19" t="s">
        <v>75</v>
      </c>
      <c r="C7" s="20">
        <v>4000</v>
      </c>
      <c r="D7" s="19">
        <v>4000</v>
      </c>
      <c r="E7" s="19">
        <v>4000</v>
      </c>
      <c r="F7" s="20">
        <v>4000</v>
      </c>
      <c r="G7" s="19">
        <v>4000</v>
      </c>
      <c r="H7" s="20">
        <v>4000</v>
      </c>
      <c r="I7" s="21"/>
    </row>
    <row r="8" spans="1:9" ht="15.75" thickBot="1" x14ac:dyDescent="0.3">
      <c r="B8" s="25" t="s">
        <v>76</v>
      </c>
      <c r="C8" s="26">
        <v>500</v>
      </c>
      <c r="D8" s="25">
        <v>500</v>
      </c>
      <c r="E8" s="25">
        <v>500</v>
      </c>
      <c r="F8" s="26">
        <v>500</v>
      </c>
      <c r="G8" s="25">
        <v>500</v>
      </c>
      <c r="H8" s="26">
        <v>500</v>
      </c>
      <c r="I8" s="27"/>
    </row>
    <row r="9" spans="1:9" ht="15.75" thickBot="1" x14ac:dyDescent="0.3">
      <c r="B9" s="19" t="s">
        <v>77</v>
      </c>
      <c r="C9" s="20">
        <v>240</v>
      </c>
      <c r="D9" s="19">
        <v>241</v>
      </c>
      <c r="E9" s="19">
        <v>242</v>
      </c>
      <c r="F9" s="20">
        <v>243</v>
      </c>
      <c r="G9" s="19">
        <v>244</v>
      </c>
      <c r="H9" s="20">
        <v>245</v>
      </c>
      <c r="I9" s="21"/>
    </row>
    <row r="10" spans="1:9" ht="15.75" thickBot="1" x14ac:dyDescent="0.3">
      <c r="A10" s="10"/>
      <c r="B10" s="25" t="s">
        <v>78</v>
      </c>
      <c r="C10" s="26">
        <v>800</v>
      </c>
      <c r="D10" s="25">
        <v>807</v>
      </c>
      <c r="E10" s="25">
        <v>814</v>
      </c>
      <c r="F10" s="26">
        <v>821</v>
      </c>
      <c r="G10" s="25">
        <v>828</v>
      </c>
      <c r="H10" s="26">
        <v>835</v>
      </c>
      <c r="I10" s="27"/>
    </row>
    <row r="11" spans="1:9" ht="15.75" thickBot="1" x14ac:dyDescent="0.3">
      <c r="B11" s="28" t="s">
        <v>79</v>
      </c>
      <c r="C11" s="29"/>
      <c r="D11" s="28"/>
      <c r="E11" s="28"/>
      <c r="F11" s="29"/>
      <c r="G11" s="28"/>
      <c r="H11" s="29"/>
      <c r="I11" s="30"/>
    </row>
    <row r="12" spans="1:9" ht="15.75" thickBot="1" x14ac:dyDescent="0.3">
      <c r="B12" s="28" t="s">
        <v>80</v>
      </c>
      <c r="C12" s="29"/>
      <c r="D12" s="28"/>
      <c r="E12" s="31"/>
      <c r="F12" s="25"/>
      <c r="G12" s="28"/>
      <c r="H12" s="29"/>
      <c r="I12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E19" sqref="E19"/>
    </sheetView>
  </sheetViews>
  <sheetFormatPr defaultRowHeight="15" x14ac:dyDescent="0.25"/>
  <sheetData>
    <row r="1" spans="1:4" ht="15.75" thickBot="1" x14ac:dyDescent="0.3">
      <c r="A1" s="34" t="s">
        <v>64</v>
      </c>
      <c r="B1" s="35" t="s">
        <v>65</v>
      </c>
      <c r="C1" s="35" t="s">
        <v>66</v>
      </c>
      <c r="D1" s="36" t="s">
        <v>67</v>
      </c>
    </row>
    <row r="2" spans="1:4" ht="15.75" thickBot="1" x14ac:dyDescent="0.3">
      <c r="A2" s="32">
        <v>2</v>
      </c>
      <c r="B2" s="13">
        <v>1</v>
      </c>
      <c r="C2" s="13">
        <v>1</v>
      </c>
      <c r="D2" s="33">
        <f>(C2+$C$2)*B2/2</f>
        <v>1</v>
      </c>
    </row>
    <row r="3" spans="1:4" ht="15.75" thickBot="1" x14ac:dyDescent="0.3">
      <c r="A3" s="32">
        <v>2</v>
      </c>
      <c r="B3" s="13">
        <v>2</v>
      </c>
      <c r="C3" s="13">
        <v>3</v>
      </c>
      <c r="D3" s="33">
        <f t="shared" ref="D3:D11" si="0">(C3+$C$2)*B3/2</f>
        <v>4</v>
      </c>
    </row>
    <row r="4" spans="1:4" ht="15.75" thickBot="1" x14ac:dyDescent="0.3">
      <c r="A4" s="32">
        <v>2</v>
      </c>
      <c r="B4" s="13">
        <v>3</v>
      </c>
      <c r="C4" s="13">
        <v>5</v>
      </c>
      <c r="D4" s="33">
        <f t="shared" si="0"/>
        <v>9</v>
      </c>
    </row>
    <row r="5" spans="1:4" ht="15.75" thickBot="1" x14ac:dyDescent="0.3">
      <c r="A5" s="32">
        <v>2</v>
      </c>
      <c r="B5" s="13">
        <v>4</v>
      </c>
      <c r="C5" s="13">
        <v>7</v>
      </c>
      <c r="D5" s="33">
        <f t="shared" si="0"/>
        <v>16</v>
      </c>
    </row>
    <row r="6" spans="1:4" ht="15.75" thickBot="1" x14ac:dyDescent="0.3">
      <c r="A6" s="32">
        <v>2</v>
      </c>
      <c r="B6" s="13">
        <v>5</v>
      </c>
      <c r="C6" s="13">
        <v>9</v>
      </c>
      <c r="D6" s="33">
        <f t="shared" si="0"/>
        <v>25</v>
      </c>
    </row>
    <row r="7" spans="1:4" ht="15.75" thickBot="1" x14ac:dyDescent="0.3">
      <c r="A7" s="32">
        <v>2</v>
      </c>
      <c r="B7" s="13">
        <v>6</v>
      </c>
      <c r="C7" s="13">
        <v>11</v>
      </c>
      <c r="D7" s="33">
        <f t="shared" si="0"/>
        <v>36</v>
      </c>
    </row>
    <row r="8" spans="1:4" ht="15.75" thickBot="1" x14ac:dyDescent="0.3">
      <c r="A8" s="32">
        <v>2</v>
      </c>
      <c r="B8" s="13">
        <v>7</v>
      </c>
      <c r="C8" s="13">
        <v>13</v>
      </c>
      <c r="D8" s="33">
        <f t="shared" si="0"/>
        <v>49</v>
      </c>
    </row>
    <row r="9" spans="1:4" ht="15.75" thickBot="1" x14ac:dyDescent="0.3">
      <c r="A9" s="32">
        <v>2</v>
      </c>
      <c r="B9" s="13">
        <v>8</v>
      </c>
      <c r="C9" s="13">
        <v>15</v>
      </c>
      <c r="D9" s="33">
        <f t="shared" si="0"/>
        <v>64</v>
      </c>
    </row>
    <row r="10" spans="1:4" ht="15.75" thickBot="1" x14ac:dyDescent="0.3">
      <c r="A10" s="32">
        <v>2</v>
      </c>
      <c r="B10" s="13">
        <v>9</v>
      </c>
      <c r="C10" s="13">
        <v>17</v>
      </c>
      <c r="D10" s="33">
        <f t="shared" si="0"/>
        <v>81</v>
      </c>
    </row>
    <row r="11" spans="1:4" x14ac:dyDescent="0.25">
      <c r="A11" s="37">
        <v>2</v>
      </c>
      <c r="B11" s="38">
        <v>10</v>
      </c>
      <c r="C11" s="38">
        <v>19</v>
      </c>
      <c r="D11" s="39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2"/>
  <sheetViews>
    <sheetView workbookViewId="0">
      <selection activeCell="D10" sqref="D10"/>
    </sheetView>
  </sheetViews>
  <sheetFormatPr defaultRowHeight="15" x14ac:dyDescent="0.25"/>
  <cols>
    <col min="2" max="2" width="22.42578125" customWidth="1"/>
    <col min="3" max="8" width="12.140625" bestFit="1" customWidth="1"/>
    <col min="9" max="9" width="13.42578125" bestFit="1" customWidth="1"/>
  </cols>
  <sheetData>
    <row r="1" spans="2:9" ht="15.75" thickBot="1" x14ac:dyDescent="0.3"/>
    <row r="2" spans="2:9" ht="15.75" thickBot="1" x14ac:dyDescent="0.3">
      <c r="B2" s="16"/>
      <c r="C2" s="17" t="s">
        <v>20</v>
      </c>
      <c r="D2" s="18" t="s">
        <v>21</v>
      </c>
      <c r="E2" s="18" t="s">
        <v>22</v>
      </c>
      <c r="F2" s="17" t="s">
        <v>23</v>
      </c>
      <c r="G2" s="18" t="s">
        <v>24</v>
      </c>
      <c r="H2" s="17" t="s">
        <v>69</v>
      </c>
      <c r="I2" s="40" t="s">
        <v>70</v>
      </c>
    </row>
    <row r="3" spans="2:9" ht="15.75" thickBot="1" x14ac:dyDescent="0.3">
      <c r="B3" s="19" t="s">
        <v>71</v>
      </c>
      <c r="C3" s="41">
        <v>32560</v>
      </c>
      <c r="D3" s="42">
        <v>33038</v>
      </c>
      <c r="E3" s="42">
        <v>33634</v>
      </c>
      <c r="F3" s="41">
        <v>34037</v>
      </c>
      <c r="G3" s="42">
        <v>34547</v>
      </c>
      <c r="H3" s="43">
        <v>36066</v>
      </c>
      <c r="I3" s="44">
        <f>C3+D3+E3+F3+G3+H3</f>
        <v>203882</v>
      </c>
    </row>
    <row r="4" spans="2:9" ht="15.75" thickBot="1" x14ac:dyDescent="0.3">
      <c r="B4" s="22" t="s">
        <v>72</v>
      </c>
      <c r="C4" s="45">
        <v>19316</v>
      </c>
      <c r="D4" s="46">
        <v>19490</v>
      </c>
      <c r="E4" s="46">
        <v>19665</v>
      </c>
      <c r="F4" s="45">
        <v>19842</v>
      </c>
      <c r="G4" s="46">
        <v>20021</v>
      </c>
      <c r="H4" s="47">
        <v>20201</v>
      </c>
      <c r="I4" s="44">
        <f t="shared" ref="I4:I12" si="0">C4+D4+E4+F4+G4+H4</f>
        <v>118535</v>
      </c>
    </row>
    <row r="5" spans="2:9" ht="15.75" thickBot="1" x14ac:dyDescent="0.3">
      <c r="B5" s="25" t="s">
        <v>73</v>
      </c>
      <c r="C5" s="48">
        <f>C3-C4</f>
        <v>13244</v>
      </c>
      <c r="D5" s="48">
        <f t="shared" ref="D5:H5" si="1">D3-D4</f>
        <v>13548</v>
      </c>
      <c r="E5" s="48">
        <f t="shared" si="1"/>
        <v>13969</v>
      </c>
      <c r="F5" s="48">
        <f t="shared" si="1"/>
        <v>14195</v>
      </c>
      <c r="G5" s="48">
        <f t="shared" si="1"/>
        <v>14526</v>
      </c>
      <c r="H5" s="48">
        <f t="shared" si="1"/>
        <v>15865</v>
      </c>
      <c r="I5" s="44">
        <f t="shared" si="0"/>
        <v>85347</v>
      </c>
    </row>
    <row r="6" spans="2:9" ht="15.75" thickBot="1" x14ac:dyDescent="0.3">
      <c r="B6" s="25" t="s">
        <v>74</v>
      </c>
      <c r="C6" s="48"/>
      <c r="D6" s="49"/>
      <c r="E6" s="49"/>
      <c r="F6" s="48"/>
      <c r="G6" s="49"/>
      <c r="H6" s="50"/>
      <c r="I6" s="44">
        <f>C6+D6+E6+F6+G6+H6</f>
        <v>0</v>
      </c>
    </row>
    <row r="7" spans="2:9" ht="15.75" thickBot="1" x14ac:dyDescent="0.3">
      <c r="B7" s="19" t="s">
        <v>75</v>
      </c>
      <c r="C7" s="41">
        <v>4000</v>
      </c>
      <c r="D7" s="42">
        <v>4000</v>
      </c>
      <c r="E7" s="42">
        <v>4000</v>
      </c>
      <c r="F7" s="41">
        <v>4000</v>
      </c>
      <c r="G7" s="42">
        <v>4000</v>
      </c>
      <c r="H7" s="43">
        <v>4000</v>
      </c>
      <c r="I7" s="44">
        <f t="shared" si="0"/>
        <v>24000</v>
      </c>
    </row>
    <row r="8" spans="2:9" ht="15.75" thickBot="1" x14ac:dyDescent="0.3">
      <c r="B8" s="25" t="s">
        <v>76</v>
      </c>
      <c r="C8" s="48">
        <v>500</v>
      </c>
      <c r="D8" s="49">
        <v>500</v>
      </c>
      <c r="E8" s="49">
        <v>500</v>
      </c>
      <c r="F8" s="48">
        <v>500</v>
      </c>
      <c r="G8" s="49">
        <v>500</v>
      </c>
      <c r="H8" s="50">
        <v>500</v>
      </c>
      <c r="I8" s="44">
        <f t="shared" si="0"/>
        <v>3000</v>
      </c>
    </row>
    <row r="9" spans="2:9" ht="15.75" thickBot="1" x14ac:dyDescent="0.3">
      <c r="B9" s="19" t="s">
        <v>77</v>
      </c>
      <c r="C9" s="41">
        <v>240</v>
      </c>
      <c r="D9" s="42">
        <v>241</v>
      </c>
      <c r="E9" s="42">
        <v>242</v>
      </c>
      <c r="F9" s="41">
        <v>243</v>
      </c>
      <c r="G9" s="42">
        <v>244</v>
      </c>
      <c r="H9" s="43">
        <v>245</v>
      </c>
      <c r="I9" s="44">
        <f t="shared" si="0"/>
        <v>1455</v>
      </c>
    </row>
    <row r="10" spans="2:9" ht="15.75" thickBot="1" x14ac:dyDescent="0.3">
      <c r="B10" s="25" t="s">
        <v>78</v>
      </c>
      <c r="C10" s="48">
        <v>800</v>
      </c>
      <c r="D10" s="49">
        <v>807</v>
      </c>
      <c r="E10" s="49">
        <v>814</v>
      </c>
      <c r="F10" s="48">
        <v>821</v>
      </c>
      <c r="G10" s="49">
        <v>828</v>
      </c>
      <c r="H10" s="50">
        <v>835</v>
      </c>
      <c r="I10" s="44">
        <f t="shared" si="0"/>
        <v>4905</v>
      </c>
    </row>
    <row r="11" spans="2:9" ht="15.75" thickBot="1" x14ac:dyDescent="0.3">
      <c r="B11" s="28" t="s">
        <v>79</v>
      </c>
      <c r="C11" s="51">
        <f>C7+C8+C9+C10</f>
        <v>5540</v>
      </c>
      <c r="D11" s="51">
        <f t="shared" ref="D11:H11" si="2">D7+D8+D9+D10</f>
        <v>5548</v>
      </c>
      <c r="E11" s="51">
        <f t="shared" si="2"/>
        <v>5556</v>
      </c>
      <c r="F11" s="51">
        <f t="shared" si="2"/>
        <v>5564</v>
      </c>
      <c r="G11" s="51">
        <f t="shared" si="2"/>
        <v>5572</v>
      </c>
      <c r="H11" s="51">
        <f t="shared" si="2"/>
        <v>5580</v>
      </c>
      <c r="I11" s="44">
        <f t="shared" si="0"/>
        <v>33360</v>
      </c>
    </row>
    <row r="12" spans="2:9" ht="15.75" thickBot="1" x14ac:dyDescent="0.3">
      <c r="B12" s="25" t="s">
        <v>80</v>
      </c>
      <c r="C12" s="49">
        <f>C5-C11</f>
        <v>7704</v>
      </c>
      <c r="D12" s="49">
        <f t="shared" ref="D12:H12" si="3">D5-D11</f>
        <v>8000</v>
      </c>
      <c r="E12" s="49">
        <f t="shared" si="3"/>
        <v>8413</v>
      </c>
      <c r="F12" s="49">
        <f t="shared" si="3"/>
        <v>8631</v>
      </c>
      <c r="G12" s="49">
        <f t="shared" si="3"/>
        <v>8954</v>
      </c>
      <c r="H12" s="49">
        <f t="shared" si="3"/>
        <v>10285</v>
      </c>
      <c r="I12" s="44">
        <f t="shared" si="0"/>
        <v>51987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>
      <selection activeCell="D22" sqref="D22"/>
    </sheetView>
  </sheetViews>
  <sheetFormatPr defaultRowHeight="15" x14ac:dyDescent="0.25"/>
  <cols>
    <col min="2" max="2" width="15.85546875" customWidth="1"/>
    <col min="3" max="3" width="16.85546875" customWidth="1"/>
    <col min="4" max="4" width="24.7109375" customWidth="1"/>
  </cols>
  <sheetData>
    <row r="1" spans="1:4" ht="15.75" x14ac:dyDescent="0.25">
      <c r="A1" s="52" t="s">
        <v>81</v>
      </c>
      <c r="B1" s="52"/>
      <c r="C1" s="52"/>
      <c r="D1" s="52"/>
    </row>
    <row r="2" spans="1:4" ht="15.75" x14ac:dyDescent="0.25">
      <c r="A2" s="52" t="s">
        <v>82</v>
      </c>
      <c r="B2" s="52"/>
      <c r="C2" s="52"/>
      <c r="D2" s="52"/>
    </row>
    <row r="3" spans="1:4" ht="15.75" x14ac:dyDescent="0.25">
      <c r="A3" s="52" t="s">
        <v>83</v>
      </c>
      <c r="B3" s="52"/>
      <c r="C3" s="52"/>
      <c r="D3" s="52"/>
    </row>
    <row r="4" spans="1:4" ht="16.5" thickBot="1" x14ac:dyDescent="0.3">
      <c r="A4" s="53" t="s">
        <v>84</v>
      </c>
      <c r="B4" s="54" t="s">
        <v>85</v>
      </c>
      <c r="C4" s="54" t="s">
        <v>86</v>
      </c>
      <c r="D4" s="55" t="s">
        <v>87</v>
      </c>
    </row>
    <row r="5" spans="1:4" ht="16.5" thickBot="1" x14ac:dyDescent="0.3">
      <c r="A5" s="56">
        <v>2005</v>
      </c>
      <c r="B5" s="60">
        <v>66174</v>
      </c>
      <c r="C5" s="60">
        <v>1230000</v>
      </c>
      <c r="D5" s="57">
        <f>B5/C5</f>
        <v>5.3800000000000001E-2</v>
      </c>
    </row>
    <row r="6" spans="1:4" ht="16.5" thickBot="1" x14ac:dyDescent="0.3">
      <c r="A6" s="56">
        <v>2006</v>
      </c>
      <c r="B6" s="60">
        <v>86814</v>
      </c>
      <c r="C6" s="60">
        <v>1260000</v>
      </c>
      <c r="D6" s="57">
        <f t="shared" ref="D6:D14" si="0">B6/C6</f>
        <v>6.8900000000000003E-2</v>
      </c>
    </row>
    <row r="7" spans="1:4" ht="16.5" thickBot="1" x14ac:dyDescent="0.3">
      <c r="A7" s="56">
        <v>2007</v>
      </c>
      <c r="B7" s="60">
        <v>113490</v>
      </c>
      <c r="C7" s="60">
        <v>1300000</v>
      </c>
      <c r="D7" s="57">
        <f t="shared" si="0"/>
        <v>8.7300000000000003E-2</v>
      </c>
    </row>
    <row r="8" spans="1:4" ht="16.5" thickBot="1" x14ac:dyDescent="0.3">
      <c r="A8" s="56">
        <v>2008</v>
      </c>
      <c r="B8" s="60">
        <v>125280</v>
      </c>
      <c r="C8" s="60">
        <v>1350000</v>
      </c>
      <c r="D8" s="57">
        <f t="shared" si="0"/>
        <v>9.2799999999999994E-2</v>
      </c>
    </row>
    <row r="9" spans="1:4" ht="16.5" thickBot="1" x14ac:dyDescent="0.3">
      <c r="A9" s="56">
        <v>2009</v>
      </c>
      <c r="B9" s="60">
        <v>145452</v>
      </c>
      <c r="C9" s="60">
        <v>1380000</v>
      </c>
      <c r="D9" s="57">
        <f t="shared" si="0"/>
        <v>0.10539999999999999</v>
      </c>
    </row>
    <row r="10" spans="1:4" ht="16.5" thickBot="1" x14ac:dyDescent="0.3">
      <c r="A10" s="56">
        <v>2010</v>
      </c>
      <c r="B10" s="60">
        <v>178922</v>
      </c>
      <c r="C10" s="60">
        <v>1370000</v>
      </c>
      <c r="D10" s="57">
        <f t="shared" si="0"/>
        <v>0.13059999999999999</v>
      </c>
    </row>
    <row r="11" spans="1:4" ht="16.5" thickBot="1" x14ac:dyDescent="0.3">
      <c r="A11" s="56">
        <v>2011</v>
      </c>
      <c r="B11" s="60">
        <v>200340</v>
      </c>
      <c r="C11" s="60">
        <v>1400000</v>
      </c>
      <c r="D11" s="57">
        <f t="shared" si="0"/>
        <v>0.1431</v>
      </c>
    </row>
    <row r="12" spans="1:4" ht="16.5" thickBot="1" x14ac:dyDescent="0.3">
      <c r="A12" s="56">
        <v>2012</v>
      </c>
      <c r="B12" s="60">
        <v>262850</v>
      </c>
      <c r="C12" s="60">
        <v>1500000</v>
      </c>
      <c r="D12" s="57">
        <f t="shared" si="0"/>
        <v>0.17523333333333332</v>
      </c>
    </row>
    <row r="13" spans="1:4" ht="16.5" thickBot="1" x14ac:dyDescent="0.3">
      <c r="A13" s="56">
        <v>2013</v>
      </c>
      <c r="B13" s="60">
        <v>299468</v>
      </c>
      <c r="C13" s="60">
        <v>1690000</v>
      </c>
      <c r="D13" s="57">
        <f t="shared" si="0"/>
        <v>0.1772</v>
      </c>
    </row>
    <row r="14" spans="1:4" ht="16.5" thickBot="1" x14ac:dyDescent="0.3">
      <c r="A14" s="56">
        <v>2014</v>
      </c>
      <c r="B14" s="60">
        <v>350200</v>
      </c>
      <c r="C14" s="60">
        <v>2000000</v>
      </c>
      <c r="D14" s="57">
        <f t="shared" si="0"/>
        <v>0.17510000000000001</v>
      </c>
    </row>
    <row r="15" spans="1:4" ht="15.75" x14ac:dyDescent="0.25">
      <c r="A15" s="58" t="s">
        <v>70</v>
      </c>
      <c r="B15" s="61">
        <f>SUM(B5:B14)</f>
        <v>1828990</v>
      </c>
      <c r="C15" s="61">
        <f>SUM(C5:C14)</f>
        <v>14480000</v>
      </c>
      <c r="D15" s="59">
        <f>AVERAGE(D5:D14)</f>
        <v>0.12094333333333333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tabSelected="1" workbookViewId="0">
      <selection activeCell="C15" sqref="C15"/>
    </sheetView>
  </sheetViews>
  <sheetFormatPr defaultRowHeight="15" x14ac:dyDescent="0.25"/>
  <cols>
    <col min="1" max="1" width="15.5703125" customWidth="1"/>
    <col min="2" max="6" width="9.28515625" bestFit="1" customWidth="1"/>
    <col min="7" max="7" width="9.5703125" bestFit="1" customWidth="1"/>
    <col min="8" max="8" width="9.28515625" bestFit="1" customWidth="1"/>
  </cols>
  <sheetData>
    <row r="1" spans="1:8" ht="18.75" x14ac:dyDescent="0.3">
      <c r="A1" s="62" t="s">
        <v>88</v>
      </c>
      <c r="B1" s="62"/>
      <c r="C1" s="62"/>
      <c r="D1" s="62"/>
      <c r="E1" s="62"/>
      <c r="F1" s="62"/>
    </row>
    <row r="2" spans="1:8" ht="19.5" thickBot="1" x14ac:dyDescent="0.35">
      <c r="A2" s="63"/>
      <c r="B2" s="63"/>
      <c r="C2" s="62"/>
      <c r="D2" s="62" t="s">
        <v>89</v>
      </c>
      <c r="E2" s="62"/>
      <c r="F2" s="62"/>
    </row>
    <row r="3" spans="1:8" ht="15.75" thickBot="1" x14ac:dyDescent="0.3">
      <c r="A3" s="64"/>
      <c r="B3" s="65">
        <v>42010</v>
      </c>
      <c r="C3" s="65">
        <v>42011</v>
      </c>
      <c r="D3" s="65">
        <v>42012</v>
      </c>
      <c r="E3" s="65">
        <v>42013</v>
      </c>
      <c r="F3" s="65">
        <v>42014</v>
      </c>
      <c r="G3" s="65">
        <v>42015</v>
      </c>
      <c r="H3" s="65">
        <v>42016</v>
      </c>
    </row>
    <row r="4" spans="1:8" ht="15.75" thickBot="1" x14ac:dyDescent="0.3">
      <c r="A4" s="14" t="s">
        <v>90</v>
      </c>
      <c r="B4" s="80">
        <v>122.56</v>
      </c>
      <c r="C4" s="80">
        <v>178.05</v>
      </c>
      <c r="D4" s="80">
        <v>165.4</v>
      </c>
      <c r="E4" s="80">
        <v>11.58</v>
      </c>
      <c r="F4" s="80">
        <v>210.48</v>
      </c>
      <c r="G4" s="80">
        <v>255.88</v>
      </c>
      <c r="H4" s="80">
        <v>88.25</v>
      </c>
    </row>
    <row r="5" spans="1:8" ht="15.75" thickBot="1" x14ac:dyDescent="0.3">
      <c r="A5" s="14" t="s">
        <v>91</v>
      </c>
      <c r="B5" s="80">
        <v>87.25</v>
      </c>
      <c r="C5" s="80">
        <v>100.56</v>
      </c>
      <c r="D5" s="80">
        <v>180.47</v>
      </c>
      <c r="E5" s="80">
        <v>245.37</v>
      </c>
      <c r="F5" s="80">
        <v>305.57</v>
      </c>
      <c r="G5" s="80">
        <v>370.18</v>
      </c>
      <c r="H5" s="80">
        <v>222.78</v>
      </c>
    </row>
    <row r="6" spans="1:8" ht="15.75" thickBot="1" x14ac:dyDescent="0.3">
      <c r="A6" s="14" t="s">
        <v>92</v>
      </c>
      <c r="B6" s="80">
        <v>36.880000000000003</v>
      </c>
      <c r="C6" s="80">
        <v>66.66</v>
      </c>
      <c r="D6" s="80">
        <v>88.33</v>
      </c>
      <c r="E6" s="80">
        <v>117.89</v>
      </c>
      <c r="F6" s="80">
        <v>118.25</v>
      </c>
      <c r="G6" s="80">
        <v>200.39</v>
      </c>
      <c r="H6" s="80">
        <v>123.78</v>
      </c>
    </row>
    <row r="7" spans="1:8" ht="15.75" thickBot="1" x14ac:dyDescent="0.3">
      <c r="A7" s="66" t="s">
        <v>93</v>
      </c>
      <c r="B7" s="81">
        <v>110.37</v>
      </c>
      <c r="C7" s="80">
        <v>285.47000000000003</v>
      </c>
      <c r="D7" s="80">
        <v>177.34</v>
      </c>
      <c r="E7" s="80">
        <v>305.27</v>
      </c>
      <c r="F7" s="80">
        <v>279.27</v>
      </c>
      <c r="G7" s="81">
        <v>279.8</v>
      </c>
      <c r="H7" s="81">
        <v>355.87</v>
      </c>
    </row>
    <row r="8" spans="1:8" x14ac:dyDescent="0.25">
      <c r="A8" s="1" t="s">
        <v>94</v>
      </c>
      <c r="B8" s="82">
        <v>66.44</v>
      </c>
      <c r="C8" s="82">
        <v>71.290000000000006</v>
      </c>
      <c r="D8" s="82">
        <v>117.84</v>
      </c>
      <c r="E8" s="82">
        <v>188.77</v>
      </c>
      <c r="F8" s="82">
        <v>360.01</v>
      </c>
      <c r="G8" s="82">
        <v>410.54</v>
      </c>
      <c r="H8" s="82">
        <v>265.67</v>
      </c>
    </row>
    <row r="9" spans="1:8" x14ac:dyDescent="0.25">
      <c r="A9" s="1" t="s">
        <v>95</v>
      </c>
      <c r="B9" s="82">
        <f>B4+B5+B6+B7+B8</f>
        <v>423.5</v>
      </c>
      <c r="C9" s="82">
        <f t="shared" ref="C9:H9" si="0">C4+C5+C6+C7+C8</f>
        <v>702.03</v>
      </c>
      <c r="D9" s="82">
        <f t="shared" si="0"/>
        <v>729.38</v>
      </c>
      <c r="E9" s="82">
        <f t="shared" si="0"/>
        <v>868.87999999999988</v>
      </c>
      <c r="F9" s="82">
        <f t="shared" si="0"/>
        <v>1273.58</v>
      </c>
      <c r="G9" s="82">
        <f t="shared" si="0"/>
        <v>1516.79</v>
      </c>
      <c r="H9" s="82">
        <f t="shared" si="0"/>
        <v>1056.3499999999999</v>
      </c>
    </row>
    <row r="10" spans="1:8" x14ac:dyDescent="0.25">
      <c r="A10" s="1" t="s">
        <v>96</v>
      </c>
      <c r="B10" s="82">
        <f t="shared" ref="B10:H10" si="1">Налог*B9</f>
        <v>30.703749999999999</v>
      </c>
      <c r="C10" s="82">
        <f t="shared" si="1"/>
        <v>50.897174999999997</v>
      </c>
      <c r="D10" s="82">
        <f t="shared" si="1"/>
        <v>52.880049999999997</v>
      </c>
      <c r="E10" s="82">
        <f t="shared" si="1"/>
        <v>62.993799999999986</v>
      </c>
      <c r="F10" s="82">
        <f t="shared" si="1"/>
        <v>92.334549999999993</v>
      </c>
      <c r="G10" s="82">
        <f t="shared" si="1"/>
        <v>109.96727499999999</v>
      </c>
      <c r="H10" s="82">
        <f t="shared" si="1"/>
        <v>76.585374999999985</v>
      </c>
    </row>
    <row r="11" spans="1:8" ht="15.75" thickBot="1" x14ac:dyDescent="0.3">
      <c r="A11" s="67" t="s">
        <v>70</v>
      </c>
      <c r="B11" s="83">
        <f>B9+B10</f>
        <v>454.20375000000001</v>
      </c>
      <c r="C11" s="83">
        <f t="shared" ref="C11:H11" si="2">C9+C10</f>
        <v>752.92717499999992</v>
      </c>
      <c r="D11" s="83">
        <f t="shared" si="2"/>
        <v>782.26004999999998</v>
      </c>
      <c r="E11" s="83">
        <f t="shared" si="2"/>
        <v>931.87379999999985</v>
      </c>
      <c r="F11" s="83">
        <f t="shared" si="2"/>
        <v>1365.91455</v>
      </c>
      <c r="G11" s="83">
        <f t="shared" si="2"/>
        <v>1626.7572749999999</v>
      </c>
      <c r="H11" s="83">
        <f t="shared" si="2"/>
        <v>1132.9353749999998</v>
      </c>
    </row>
    <row r="12" spans="1:8" x14ac:dyDescent="0.25">
      <c r="A12" s="66"/>
      <c r="B12" s="66"/>
      <c r="C12" s="66"/>
      <c r="D12" s="66"/>
      <c r="E12" s="66"/>
      <c r="F12" s="66"/>
      <c r="G12" s="66"/>
      <c r="H12" s="66"/>
    </row>
    <row r="13" spans="1:8" x14ac:dyDescent="0.25">
      <c r="A13" s="1" t="s">
        <v>97</v>
      </c>
      <c r="B13" s="68">
        <v>7.2499999999999995E-2</v>
      </c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5"/>
  <sheetViews>
    <sheetView workbookViewId="0">
      <selection activeCell="D4" sqref="D4"/>
    </sheetView>
  </sheetViews>
  <sheetFormatPr defaultRowHeight="15" x14ac:dyDescent="0.25"/>
  <cols>
    <col min="2" max="2" width="16.7109375" customWidth="1"/>
    <col min="3" max="3" width="11.140625" customWidth="1"/>
    <col min="6" max="6" width="11.7109375" customWidth="1"/>
    <col min="7" max="7" width="15.7109375" customWidth="1"/>
    <col min="8" max="8" width="18.42578125" customWidth="1"/>
  </cols>
  <sheetData>
    <row r="1" spans="2:8" ht="15.75" thickBot="1" x14ac:dyDescent="0.3"/>
    <row r="2" spans="2:8" ht="18.75" thickBot="1" x14ac:dyDescent="0.3">
      <c r="B2" s="14"/>
      <c r="C2" s="69" t="s">
        <v>98</v>
      </c>
      <c r="D2" s="70"/>
      <c r="E2" s="70"/>
      <c r="F2" s="70"/>
      <c r="G2" s="70"/>
      <c r="H2" s="70"/>
    </row>
    <row r="3" spans="2:8" ht="45.75" thickBot="1" x14ac:dyDescent="0.3">
      <c r="B3" s="14"/>
      <c r="C3" s="71" t="s">
        <v>99</v>
      </c>
      <c r="D3" s="71" t="s">
        <v>100</v>
      </c>
      <c r="E3" s="71" t="s">
        <v>101</v>
      </c>
      <c r="F3" s="71" t="s">
        <v>102</v>
      </c>
      <c r="G3" s="72" t="s">
        <v>103</v>
      </c>
      <c r="H3" s="72" t="s">
        <v>104</v>
      </c>
    </row>
    <row r="4" spans="2:8" ht="15.75" thickBot="1" x14ac:dyDescent="0.3">
      <c r="B4" s="13" t="s">
        <v>105</v>
      </c>
      <c r="C4" s="73">
        <v>3592</v>
      </c>
      <c r="D4" s="73">
        <v>4390</v>
      </c>
      <c r="E4" s="73">
        <v>3780</v>
      </c>
      <c r="F4" s="73">
        <v>4780</v>
      </c>
      <c r="G4" s="73">
        <v>40</v>
      </c>
      <c r="H4" s="73">
        <v>29</v>
      </c>
    </row>
    <row r="5" spans="2:8" ht="15.75" thickBot="1" x14ac:dyDescent="0.3">
      <c r="B5" s="13" t="s">
        <v>106</v>
      </c>
      <c r="C5" s="73">
        <v>5440</v>
      </c>
      <c r="D5" s="73">
        <v>6150</v>
      </c>
      <c r="E5" s="73">
        <v>6050</v>
      </c>
      <c r="F5" s="73">
        <v>5980</v>
      </c>
      <c r="G5" s="73">
        <v>32</v>
      </c>
      <c r="H5" s="7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34</vt:i4>
      </vt:variant>
    </vt:vector>
  </HeadingPairs>
  <TitlesOfParts>
    <vt:vector size="48" baseType="lpstr">
      <vt:lpstr>Автозаполнение1</vt:lpstr>
      <vt:lpstr>Автозаполнение2</vt:lpstr>
      <vt:lpstr>Прогрессия</vt:lpstr>
      <vt:lpstr>Отчёт</vt:lpstr>
      <vt:lpstr>Прогрессия1</vt:lpstr>
      <vt:lpstr>Отчёт1</vt:lpstr>
      <vt:lpstr>Торговля и производство</vt:lpstr>
      <vt:lpstr>Сервер</vt:lpstr>
      <vt:lpstr>Исходные данные</vt:lpstr>
      <vt:lpstr>Удельный вес</vt:lpstr>
      <vt:lpstr>Продукция 1</vt:lpstr>
      <vt:lpstr>Продукция2</vt:lpstr>
      <vt:lpstr>Годовой отчёт</vt:lpstr>
      <vt:lpstr>Зарплата</vt:lpstr>
      <vt:lpstr>Базовая</vt:lpstr>
      <vt:lpstr>Надбавка1</vt:lpstr>
      <vt:lpstr>Надбавка2</vt:lpstr>
      <vt:lpstr>Надбавка3</vt:lpstr>
      <vt:lpstr>Надбавка4</vt:lpstr>
      <vt:lpstr>Налог</vt:lpstr>
      <vt:lpstr>Начислено1</vt:lpstr>
      <vt:lpstr>Начислено2</vt:lpstr>
      <vt:lpstr>Начислено3</vt:lpstr>
      <vt:lpstr>Начислено4</vt:lpstr>
      <vt:lpstr>Оклад1</vt:lpstr>
      <vt:lpstr>Оклад2</vt:lpstr>
      <vt:lpstr>Оклад3</vt:lpstr>
      <vt:lpstr>Оклад4</vt:lpstr>
      <vt:lpstr>ПодоходныйНалог1</vt:lpstr>
      <vt:lpstr>ПодоходныйНалог2</vt:lpstr>
      <vt:lpstr>ПодоходныйНалог3</vt:lpstr>
      <vt:lpstr>ПодоходныйНалог4</vt:lpstr>
      <vt:lpstr>Премия1</vt:lpstr>
      <vt:lpstr>Премия2</vt:lpstr>
      <vt:lpstr>Премия3</vt:lpstr>
      <vt:lpstr>Премия4</vt:lpstr>
      <vt:lpstr>Проф1</vt:lpstr>
      <vt:lpstr>Проф2</vt:lpstr>
      <vt:lpstr>Проф3</vt:lpstr>
      <vt:lpstr>Проф4</vt:lpstr>
      <vt:lpstr>ПроцентВзноса</vt:lpstr>
      <vt:lpstr>ПроцентНадбавки</vt:lpstr>
      <vt:lpstr>ПроцентНалога</vt:lpstr>
      <vt:lpstr>ПроцентПремии</vt:lpstr>
      <vt:lpstr>Тариф1</vt:lpstr>
      <vt:lpstr>Тариф2</vt:lpstr>
      <vt:lpstr>Тариф3</vt:lpstr>
      <vt:lpstr>Тариф4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2021-09-05T19:14:57Z</dcterms:modified>
</cp:coreProperties>
</file>