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 курс\Прикладное\Лр4 Попков\"/>
    </mc:Choice>
  </mc:AlternateContent>
  <bookViews>
    <workbookView xWindow="0" yWindow="0" windowWidth="21570" windowHeight="10740" activeTab="5"/>
  </bookViews>
  <sheets>
    <sheet name="Мат_функции" sheetId="3" r:id="rId1"/>
    <sheet name="Стат_функции" sheetId="2" r:id="rId2"/>
    <sheet name="Логич_функции" sheetId="4" r:id="rId3"/>
    <sheet name="Текст_функции" sheetId="5" r:id="rId4"/>
    <sheet name="Дата_время" sheetId="1" r:id="rId5"/>
    <sheet name="Фин_функции" sheetId="6" r:id="rId6"/>
    <sheet name="Ведомость_зарплаты" sheetId="7" r:id="rId7"/>
  </sheets>
  <definedNames>
    <definedName name="Всего_начислено">Ведомость_зарплаты!$I$3:$I$12</definedName>
    <definedName name="Всего_удержано">Ведомость_зарплаты!$M$3:$M$12</definedName>
    <definedName name="Другие_начисления">Ведомость_зарплаты!$H$3:$H$12</definedName>
    <definedName name="За_отработанные_дни">Ведомость_зарплаты!$F$3:$F$12</definedName>
    <definedName name="Оклад">Ведомость_зарплаты!$D$3:$D$12</definedName>
    <definedName name="Отр_дни">Ведомость_зарплаты!$E$3:$E$12</definedName>
    <definedName name="Пенсионный_фонд">Ведомость_зарплаты!$L$3:$L$12</definedName>
    <definedName name="Подоходный_налог">Ведомость_зарплаты!$J$3:$J$12</definedName>
    <definedName name="Премия">Ведомость_зарплаты!$G$3:$G$12</definedName>
    <definedName name="Профсоюзный_фонд">Ведомость_зарплаты!$K$3:$K$12</definedName>
    <definedName name="Рабочие_дни">Ведомость_зарплаты!$B$15</definedName>
    <definedName name="Средний_оклад">Ведомость_зарплаты!$P$4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15" i="7" l="1"/>
  <c r="B4" i="6"/>
  <c r="B6" i="6"/>
  <c r="B3" i="6"/>
  <c r="E3" i="2"/>
  <c r="P2" i="2"/>
  <c r="P1" i="2"/>
  <c r="F3" i="7" l="1"/>
  <c r="C4" i="1" l="1"/>
  <c r="C3" i="5" l="1"/>
  <c r="B5" i="6" l="1"/>
  <c r="B2" i="6"/>
  <c r="F7" i="7"/>
  <c r="F11" i="7"/>
  <c r="G3" i="7"/>
  <c r="G12" i="7" l="1"/>
  <c r="F9" i="7"/>
  <c r="G9" i="7" s="1"/>
  <c r="G8" i="7"/>
  <c r="F5" i="7"/>
  <c r="G5" i="7" s="1"/>
  <c r="F10" i="7"/>
  <c r="G10" i="7" s="1"/>
  <c r="F6" i="7"/>
  <c r="G6" i="7" s="1"/>
  <c r="F12" i="7"/>
  <c r="G11" i="7"/>
  <c r="F8" i="7"/>
  <c r="G7" i="7"/>
  <c r="F4" i="7"/>
  <c r="G4" i="7" s="1"/>
  <c r="P4" i="7" l="1"/>
  <c r="H10" i="7" l="1"/>
  <c r="I10" i="7" s="1"/>
  <c r="H12" i="7"/>
  <c r="I12" i="7" s="1"/>
  <c r="H3" i="7"/>
  <c r="I3" i="7" s="1"/>
  <c r="H7" i="7"/>
  <c r="I7" i="7" s="1"/>
  <c r="H8" i="7"/>
  <c r="I8" i="7" s="1"/>
  <c r="H11" i="7"/>
  <c r="I11" i="7" s="1"/>
  <c r="H6" i="7"/>
  <c r="I6" i="7" s="1"/>
  <c r="H5" i="7"/>
  <c r="I5" i="7" s="1"/>
  <c r="H4" i="7"/>
  <c r="I4" i="7" s="1"/>
  <c r="H9" i="7"/>
  <c r="I9" i="7" s="1"/>
  <c r="J4" i="7" l="1"/>
  <c r="L4" i="7"/>
  <c r="K4" i="7"/>
  <c r="J8" i="7"/>
  <c r="L8" i="7"/>
  <c r="K8" i="7"/>
  <c r="L10" i="7"/>
  <c r="J10" i="7"/>
  <c r="K10" i="7"/>
  <c r="K5" i="7"/>
  <c r="J5" i="7"/>
  <c r="L5" i="7"/>
  <c r="K7" i="7"/>
  <c r="J7" i="7"/>
  <c r="L7" i="7"/>
  <c r="L6" i="7"/>
  <c r="J6" i="7"/>
  <c r="K6" i="7"/>
  <c r="K3" i="7"/>
  <c r="L3" i="7"/>
  <c r="J3" i="7"/>
  <c r="K9" i="7"/>
  <c r="J9" i="7"/>
  <c r="L9" i="7"/>
  <c r="K11" i="7"/>
  <c r="L11" i="7"/>
  <c r="J11" i="7"/>
  <c r="J12" i="7"/>
  <c r="L12" i="7"/>
  <c r="K12" i="7"/>
  <c r="C2" i="5"/>
  <c r="C4" i="5"/>
  <c r="C5" i="5"/>
  <c r="C6" i="5"/>
  <c r="E1" i="4"/>
  <c r="E2" i="4"/>
  <c r="E5" i="4"/>
  <c r="E8" i="4"/>
  <c r="E9" i="4"/>
  <c r="E10" i="4"/>
  <c r="E11" i="4"/>
  <c r="E12" i="4"/>
  <c r="D2" i="3"/>
  <c r="D3" i="3"/>
  <c r="D4" i="3"/>
  <c r="D5" i="3"/>
  <c r="D6" i="3"/>
  <c r="E7" i="3"/>
  <c r="E8" i="3" l="1"/>
  <c r="E9" i="3" s="1"/>
  <c r="M4" i="7"/>
  <c r="N4" i="7" s="1"/>
  <c r="M12" i="7"/>
  <c r="N12" i="7" s="1"/>
  <c r="M8" i="7"/>
  <c r="N8" i="7" s="1"/>
  <c r="M11" i="7"/>
  <c r="N11" i="7" s="1"/>
  <c r="M3" i="7"/>
  <c r="N3" i="7" s="1"/>
  <c r="M9" i="7"/>
  <c r="N9" i="7" s="1"/>
  <c r="M6" i="7"/>
  <c r="N6" i="7" s="1"/>
  <c r="M7" i="7"/>
  <c r="N7" i="7" s="1"/>
  <c r="M5" i="7"/>
  <c r="N5" i="7" s="1"/>
  <c r="M10" i="7"/>
  <c r="N10" i="7" s="1"/>
  <c r="E1" i="2"/>
  <c r="E2" i="2"/>
  <c r="E4" i="2"/>
  <c r="C9" i="1" l="1"/>
  <c r="C10" i="1"/>
  <c r="C7" i="1"/>
  <c r="C8" i="1" l="1"/>
  <c r="C5" i="1"/>
  <c r="C6" i="1"/>
  <c r="C2" i="1"/>
  <c r="C3" i="1"/>
</calcChain>
</file>

<file path=xl/sharedStrings.xml><?xml version="1.0" encoding="utf-8"?>
<sst xmlns="http://schemas.openxmlformats.org/spreadsheetml/2006/main" count="146" uniqueCount="115">
  <si>
    <t>количество ячеек, содержащих  одинаковые значения.</t>
  </si>
  <si>
    <t>Кол-во ячеек, содержащие отрицательные значения</t>
  </si>
  <si>
    <t>1_4</t>
  </si>
  <si>
    <t>Кол-во ячеек, больше A1</t>
  </si>
  <si>
    <t>1_3</t>
  </si>
  <si>
    <t>Кол-во ячеек, в диапазоне от 0 до 10</t>
  </si>
  <si>
    <t>1_2</t>
  </si>
  <si>
    <t>кол-во ячеек, содержащих ровно три символа</t>
  </si>
  <si>
    <t>1_1</t>
  </si>
  <si>
    <t xml:space="preserve">Идет k-я секунда суток. Сколько полных часов h от 0 до 23, полных минут m от 0 до 60 и секунд s от 0 до 60 прошло к этому времени </t>
  </si>
  <si>
    <t>В ячейке записано целое число, лежащее в промежутке от 0 до 999. Ввести формулу, которая вычисляет сумму цифр числа.</t>
  </si>
  <si>
    <t xml:space="preserve">Вычислить функцию </t>
  </si>
  <si>
    <t>Результат</t>
  </si>
  <si>
    <t>Исходное значение</t>
  </si>
  <si>
    <t>Задание</t>
  </si>
  <si>
    <t>№</t>
  </si>
  <si>
    <t>z</t>
  </si>
  <si>
    <t>у</t>
  </si>
  <si>
    <t>х</t>
  </si>
  <si>
    <t>В ячейки таблицы введите числа x, y и z. В другие ячейки введите формулы, возвращающие значение ИСТИНА тогда и только тогда, когда:</t>
  </si>
  <si>
    <t>Торговый агент получает процент от суммы совершенной сделки. Если объем сделки до 5000, то 5%; до 10000 – 3%, превышает 10000 – 2%. Определите размер вознаграждения в зависимости от суммы совершенной сделки.</t>
  </si>
  <si>
    <t>Сумма сделки</t>
  </si>
  <si>
    <t>b</t>
  </si>
  <si>
    <r>
      <t xml:space="preserve">Выясните, принадлежит ли число z определенному отрезку z </t>
    </r>
    <r>
      <rPr>
        <sz val="12"/>
        <color theme="1"/>
        <rFont val="Symbol"/>
        <family val="1"/>
        <charset val="2"/>
      </rPr>
      <t>Î</t>
    </r>
    <r>
      <rPr>
        <sz val="12"/>
        <color theme="1"/>
        <rFont val="Times New Roman"/>
        <family val="1"/>
        <charset val="204"/>
      </rPr>
      <t>[a,b]. Значения а,  b и z введите в ячейки таблицы.</t>
    </r>
  </si>
  <si>
    <t>a</t>
  </si>
  <si>
    <t xml:space="preserve">В ячейку введите любую строку. Подсчитайте количество слов в строке. </t>
  </si>
  <si>
    <t>alex@tut.by</t>
  </si>
  <si>
    <r>
      <t xml:space="preserve">В ячейку ввести электронный адрес: </t>
    </r>
    <r>
      <rPr>
        <b/>
        <sz val="12"/>
        <color theme="1"/>
        <rFont val="Times New Roman"/>
        <family val="1"/>
        <charset val="204"/>
      </rPr>
      <t>alex@tut.by</t>
    </r>
    <r>
      <rPr>
        <sz val="14"/>
        <color theme="1"/>
        <rFont val="Times New Roman"/>
        <family val="1"/>
        <charset val="204"/>
      </rPr>
      <t xml:space="preserve">. </t>
    </r>
    <r>
      <rPr>
        <sz val="12"/>
        <color theme="1"/>
        <rFont val="Times New Roman"/>
        <family val="1"/>
        <charset val="204"/>
      </rPr>
      <t>Организовать вывод текста в следующем виде: ALEX зарегистрирован на tut.by</t>
    </r>
  </si>
  <si>
    <t>Из строки, введенной в ячейку извлеките последнее слово.</t>
  </si>
  <si>
    <t>Введите строку. В соседнюю ячейку введите любой символ. Подсчитайте, сколько этих символов содержится в строке, учитывая только нижний регистр.</t>
  </si>
  <si>
    <t>Введите текст, состоящий из несколько слов, разделенных дефисом. Найдите позицию дефиса в строке.</t>
  </si>
  <si>
    <t>Для обеспечения будущих предполагаемых расходов решено создать фонд. Для этого на счет в банке при ставке 15% годовых поступают взносы в виде постоянной ренты в течение 5 лет. Размер разового годового платежа 5 млн. руб. Определить размер фонда.</t>
  </si>
  <si>
    <t>Рассчитать величину ежегодного взноса на погашение кредита в сумме 4 000 руб., предоставленного на 15 лет под 20% годовых.</t>
  </si>
  <si>
    <t>Станок стоит 1500. После 4 лет работы его остаточная стоимость составляет 700. Подсчитать величину амортизационных выплат.</t>
  </si>
  <si>
    <t>Организации необходим кредит в сумме 1000. Банк дает кредит под 39% годовых. Ежемесячно организация может выплачивать 42,5. За сколько месяцев (лет) можно рассчитаться за кредит?</t>
  </si>
  <si>
    <t>Кредит взят на 6 лет под 28% годовых. Величина кредита 1500. Подсчитать ежемесячные выплаты по кредиту.</t>
  </si>
  <si>
    <t>Средний оклад</t>
  </si>
  <si>
    <t>Рабочие дни:</t>
  </si>
  <si>
    <t>Главный инженер</t>
  </si>
  <si>
    <t>Маркетолог</t>
  </si>
  <si>
    <t>Руководитель</t>
  </si>
  <si>
    <t>Всего</t>
  </si>
  <si>
    <t>Пенсионный фонд</t>
  </si>
  <si>
    <t>Профсоюзный фонд</t>
  </si>
  <si>
    <t>Подоходный налог</t>
  </si>
  <si>
    <t>Другие начисления</t>
  </si>
  <si>
    <t>Премия</t>
  </si>
  <si>
    <t>За отработанные дни</t>
  </si>
  <si>
    <t>К выдаче</t>
  </si>
  <si>
    <t>Удержано</t>
  </si>
  <si>
    <t>Начислено</t>
  </si>
  <si>
    <t>Количество отработанных дней</t>
  </si>
  <si>
    <t>Оклад</t>
  </si>
  <si>
    <t>Должность</t>
  </si>
  <si>
    <t>ФИО</t>
  </si>
  <si>
    <t>№ п/п</t>
  </si>
  <si>
    <t>Определите, к какому кварталу года относится текущая дата.</t>
  </si>
  <si>
    <t>Определите возраст человека, дата рождения которого содержится в ячейке. Учитывайте год месяц и день его рождения. Т.е. Если он родился в апреле 1999, а сегодня сентябрь 2016,  то ему уже исполнилось17 лет, а если он родился в декабре, то ему еще 16.</t>
  </si>
  <si>
    <t>Ввести дату. Вычислите день недели, следующий за определенной датой.</t>
  </si>
  <si>
    <t>В ячейку введите дату. Определите порядковый день года этой даты.</t>
  </si>
  <si>
    <t xml:space="preserve">В ячейки таблицы введите несколько значений времени. Определите сумму часов, минут и секунд. Определите, сколько секунд составляет в сумме введенные значения времени. </t>
  </si>
  <si>
    <t>В ячейку введите число 20160901. Обеспечьте преобразование этого числа в дату 1 сентября 2016 года, используя функции даты и времени и текстовые функции.</t>
  </si>
  <si>
    <t>h =</t>
  </si>
  <si>
    <t>m =</t>
  </si>
  <si>
    <t>s =</t>
  </si>
  <si>
    <t>Артём</t>
  </si>
  <si>
    <t>лёд</t>
  </si>
  <si>
    <t>Кол-во ячеек, содержащих слово из J1</t>
  </si>
  <si>
    <t>Всё не то, всё не так, ты мой друг, я твой враг</t>
  </si>
  <si>
    <t>Как же так всё у нас с тобою?</t>
  </si>
  <si>
    <t>Был апрель, и в любви мы клялись, но, увы</t>
  </si>
  <si>
    <t>Пролетел жёлтый лист по бульварам Москвы</t>
  </si>
  <si>
    <t>Третье сентября - день прощанья</t>
  </si>
  <si>
    <t>День, когда горят костры рябин</t>
  </si>
  <si>
    <t>Как костры, горят обещания</t>
  </si>
  <si>
    <t>В день, когда я совсем один</t>
  </si>
  <si>
    <t>Я календарь переверну - и снова третье сентября</t>
  </si>
  <si>
    <t>На фото я твоё взгляну - и снова третье сентября</t>
  </si>
  <si>
    <t>Но почему, но почему расстаться всё же нам пришлось?</t>
  </si>
  <si>
    <t>Ведь было всё у нас всерьёз второго сентября</t>
  </si>
  <si>
    <t>Журавлей белый клин, твоя дочь и мой сын</t>
  </si>
  <si>
    <t>Все хотят теплоты и ласки</t>
  </si>
  <si>
    <t>Мы в любовь, как в игру на холодном ветру</t>
  </si>
  <si>
    <t>Поиграли с тобой, но пришёл сам собой</t>
  </si>
  <si>
    <t>календарь</t>
  </si>
  <si>
    <t>Введите в ячейку формулу, возвращающую значение ИСТИНА, если z=(-2,4][7,12)[20,бесконечность), и ЛОЖЬ -- в противном случае.</t>
  </si>
  <si>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каждое из чисел является положительным;</t>
    </r>
  </si>
  <si>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хотя бы одно из чисел является положительным;</t>
    </r>
  </si>
  <si>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только одно из числе является положительным;</t>
    </r>
  </si>
  <si>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ни одно из чисел не является положительным;</t>
    </r>
  </si>
  <si>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хотя бы одно из чисел не является положительным.</t>
    </r>
  </si>
  <si>
    <t>минск-город</t>
  </si>
  <si>
    <t>Помню было мне 10 лет</t>
  </si>
  <si>
    <t>о</t>
  </si>
  <si>
    <t>я календарь переверну</t>
  </si>
  <si>
    <t>прям любая строка</t>
  </si>
  <si>
    <t>Попков А.П.</t>
  </si>
  <si>
    <t>Бриль А.Э.</t>
  </si>
  <si>
    <t>Бушмакин Е.А.</t>
  </si>
  <si>
    <t xml:space="preserve">Сиваков Д.Т.  </t>
  </si>
  <si>
    <t>Мистюкевич Я.А.</t>
  </si>
  <si>
    <t>Шпак А.И.</t>
  </si>
  <si>
    <t>Яценко А.С.</t>
  </si>
  <si>
    <t>Луцкевич А.С.</t>
  </si>
  <si>
    <t>Зыскунова А.Я.</t>
  </si>
  <si>
    <t>Севрук Н.А.</t>
  </si>
  <si>
    <t>Разработчик с#</t>
  </si>
  <si>
    <t>Разработчик c++</t>
  </si>
  <si>
    <t>Разработчик ruby</t>
  </si>
  <si>
    <t>Разработчик js</t>
  </si>
  <si>
    <t>Преподаватель</t>
  </si>
  <si>
    <t>Глава отдела продаж</t>
  </si>
  <si>
    <t>Тимлид</t>
  </si>
  <si>
    <t>Символ для поиска</t>
  </si>
  <si>
    <t>Предположим, что мы хотим получать доход, равный 1000 руб. в год, на протяжении четырех лет. Какая сумма обеспечит получение такого дохода, если ставка по срочным депозитам равна 10 % годовых?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</si>
</sst>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₽&quot;;[Red]\-#,##0.00\ &quot;₽&quot;"/>
    <numFmt numFmtId="164" formatCode="[$-F400]h:mm:ss\ AM/PM"/>
    <numFmt numFmtId="165" formatCode="[$-F800]dddd\,\ mmmm\ dd\,\ yyyy"/>
    <numFmt numFmtId="166" formatCode="#,##0.00\ [$BYR];[Red]\-#,##0.00\ [$BYR]"/>
    <numFmt numFmtId="167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sz val="11"/>
      <color rgb="FF202124"/>
      <name val="Arial"/>
      <family val="2"/>
      <charset val="204"/>
    </font>
    <font>
      <sz val="10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" fontId="0" fillId="0" borderId="20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1" xfId="0" applyFont="1" applyBorder="1" applyAlignment="1">
      <alignment vertical="center" wrapText="1"/>
    </xf>
    <xf numFmtId="1" fontId="0" fillId="0" borderId="8" xfId="0" applyNumberFormat="1" applyFont="1" applyFill="1" applyBorder="1" applyAlignment="1">
      <alignment horizontal="center" vertical="center"/>
    </xf>
    <xf numFmtId="1" fontId="0" fillId="5" borderId="8" xfId="1" applyNumberFormat="1" applyFont="1" applyFill="1" applyBorder="1" applyAlignment="1">
      <alignment horizontal="center" vertical="center" wrapText="1"/>
    </xf>
    <xf numFmtId="0" fontId="0" fillId="5" borderId="25" xfId="1" applyFont="1" applyFill="1" applyBorder="1" applyAlignment="1">
      <alignment horizontal="center" vertical="center" wrapText="1"/>
    </xf>
    <xf numFmtId="0" fontId="0" fillId="5" borderId="25" xfId="1" applyFont="1" applyFill="1" applyBorder="1" applyAlignment="1">
      <alignment horizontal="center" vertical="center"/>
    </xf>
    <xf numFmtId="0" fontId="0" fillId="0" borderId="22" xfId="0" applyBorder="1"/>
    <xf numFmtId="0" fontId="0" fillId="0" borderId="10" xfId="0" applyBorder="1"/>
    <xf numFmtId="0" fontId="0" fillId="0" borderId="24" xfId="0" applyBorder="1"/>
    <xf numFmtId="0" fontId="0" fillId="0" borderId="18" xfId="0" applyBorder="1"/>
    <xf numFmtId="0" fontId="0" fillId="0" borderId="25" xfId="0" applyBorder="1"/>
    <xf numFmtId="0" fontId="0" fillId="5" borderId="8" xfId="0" applyFill="1" applyBorder="1"/>
    <xf numFmtId="0" fontId="0" fillId="0" borderId="4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28" xfId="0" applyBorder="1"/>
    <xf numFmtId="0" fontId="1" fillId="3" borderId="0" xfId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>
      <alignment horizontal="center" vertical="center"/>
    </xf>
    <xf numFmtId="1" fontId="0" fillId="3" borderId="10" xfId="0" applyNumberFormat="1" applyFont="1" applyFill="1" applyBorder="1" applyAlignment="1">
      <alignment horizontal="center" vertical="center"/>
    </xf>
    <xf numFmtId="0" fontId="0" fillId="3" borderId="0" xfId="0" applyFont="1" applyFill="1" applyBorder="1"/>
    <xf numFmtId="0" fontId="0" fillId="3" borderId="0" xfId="0" applyNumberFormat="1" applyFont="1" applyFill="1" applyBorder="1"/>
    <xf numFmtId="0" fontId="0" fillId="3" borderId="18" xfId="0" applyFont="1" applyFill="1" applyBorder="1"/>
    <xf numFmtId="0" fontId="0" fillId="3" borderId="16" xfId="0" applyFont="1" applyFill="1" applyBorder="1"/>
    <xf numFmtId="0" fontId="0" fillId="3" borderId="19" xfId="0" applyFont="1" applyFill="1" applyBorder="1"/>
    <xf numFmtId="1" fontId="0" fillId="3" borderId="0" xfId="0" applyNumberForma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left" vertical="center" wrapText="1"/>
    </xf>
    <xf numFmtId="0" fontId="0" fillId="5" borderId="26" xfId="0" applyFill="1" applyBorder="1"/>
    <xf numFmtId="0" fontId="3" fillId="3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justify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2" xfId="3" applyBorder="1" applyAlignment="1">
      <alignment horizontal="center" vertical="center"/>
    </xf>
    <xf numFmtId="0" fontId="3" fillId="0" borderId="27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1" fillId="5" borderId="8" xfId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5" borderId="30" xfId="1" applyFill="1" applyBorder="1" applyAlignment="1">
      <alignment horizontal="center" vertical="center" wrapText="1"/>
    </xf>
    <xf numFmtId="0" fontId="1" fillId="5" borderId="8" xfId="1" applyFill="1" applyBorder="1" applyAlignment="1">
      <alignment horizontal="center" wrapText="1"/>
    </xf>
    <xf numFmtId="164" fontId="0" fillId="3" borderId="28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" fillId="5" borderId="9" xfId="1" applyFill="1" applyBorder="1" applyAlignment="1">
      <alignment horizontal="center" vertical="center"/>
    </xf>
    <xf numFmtId="0" fontId="1" fillId="5" borderId="11" xfId="1" applyFill="1" applyBorder="1" applyAlignment="1">
      <alignment horizontal="center" vertical="center" wrapText="1"/>
    </xf>
    <xf numFmtId="0" fontId="1" fillId="5" borderId="12" xfId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0" fontId="3" fillId="0" borderId="38" xfId="0" applyFont="1" applyBorder="1" applyAlignment="1">
      <alignment horizontal="left" vertical="center" wrapText="1"/>
    </xf>
    <xf numFmtId="0" fontId="0" fillId="3" borderId="29" xfId="0" applyFill="1" applyBorder="1" applyAlignment="1">
      <alignment horizontal="center" vertical="center"/>
    </xf>
    <xf numFmtId="0" fontId="0" fillId="3" borderId="29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1" fillId="5" borderId="9" xfId="2" applyFill="1" applyBorder="1" applyAlignment="1">
      <alignment horizontal="center"/>
    </xf>
    <xf numFmtId="0" fontId="1" fillId="5" borderId="12" xfId="2" applyFill="1" applyBorder="1" applyAlignment="1">
      <alignment horizontal="center"/>
    </xf>
    <xf numFmtId="0" fontId="3" fillId="0" borderId="13" xfId="0" applyFont="1" applyBorder="1" applyAlignment="1">
      <alignment vertical="top" wrapText="1"/>
    </xf>
    <xf numFmtId="166" fontId="0" fillId="0" borderId="14" xfId="0" applyNumberFormat="1" applyBorder="1" applyAlignment="1">
      <alignment horizontal="center" vertical="center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justify" vertical="center" wrapText="1"/>
    </xf>
    <xf numFmtId="0" fontId="3" fillId="0" borderId="17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3" xfId="0" applyBorder="1"/>
    <xf numFmtId="0" fontId="0" fillId="5" borderId="42" xfId="0" applyFill="1" applyBorder="1" applyAlignment="1">
      <alignment horizontal="center" vertical="center" wrapText="1"/>
    </xf>
    <xf numFmtId="167" fontId="0" fillId="0" borderId="43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0" fontId="0" fillId="0" borderId="17" xfId="0" applyBorder="1"/>
    <xf numFmtId="0" fontId="0" fillId="0" borderId="33" xfId="0" applyBorder="1"/>
    <xf numFmtId="0" fontId="0" fillId="0" borderId="33" xfId="0" applyBorder="1" applyAlignment="1">
      <alignment horizontal="center" vertical="center" wrapText="1"/>
    </xf>
    <xf numFmtId="167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0" fontId="0" fillId="5" borderId="0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0" xfId="0" applyFill="1" applyBorder="1"/>
    <xf numFmtId="0" fontId="0" fillId="5" borderId="23" xfId="0" applyFill="1" applyBorder="1"/>
    <xf numFmtId="0" fontId="0" fillId="5" borderId="24" xfId="0" applyFill="1" applyBorder="1"/>
    <xf numFmtId="9" fontId="0" fillId="3" borderId="0" xfId="0" applyNumberFormat="1" applyFill="1"/>
    <xf numFmtId="9" fontId="0" fillId="3" borderId="0" xfId="0" applyNumberFormat="1" applyFill="1" applyAlignment="1">
      <alignment horizontal="center" vertical="center"/>
    </xf>
    <xf numFmtId="8" fontId="0" fillId="3" borderId="0" xfId="0" applyNumberFormat="1" applyFill="1"/>
    <xf numFmtId="0" fontId="0" fillId="3" borderId="0" xfId="0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5" borderId="8" xfId="0" applyFill="1" applyBorder="1" applyAlignment="1">
      <alignment wrapText="1"/>
    </xf>
    <xf numFmtId="0" fontId="3" fillId="0" borderId="44" xfId="0" applyFont="1" applyBorder="1" applyAlignment="1">
      <alignment horizontal="center" vertical="center" wrapText="1"/>
    </xf>
    <xf numFmtId="0" fontId="0" fillId="5" borderId="16" xfId="0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0" fillId="5" borderId="32" xfId="0" applyFill="1" applyBorder="1"/>
    <xf numFmtId="0" fontId="0" fillId="6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45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" fillId="0" borderId="49" xfId="0" applyFont="1" applyBorder="1" applyAlignment="1">
      <alignment vertical="center" wrapText="1"/>
    </xf>
    <xf numFmtId="0" fontId="0" fillId="0" borderId="50" xfId="0" applyBorder="1" applyAlignment="1">
      <alignment horizontal="center" vertical="center"/>
    </xf>
    <xf numFmtId="0" fontId="0" fillId="5" borderId="52" xfId="0" applyFill="1" applyBorder="1"/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5" borderId="28" xfId="2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9" fillId="5" borderId="34" xfId="2" applyFont="1" applyFill="1" applyBorder="1" applyAlignment="1">
      <alignment horizontal="center" vertical="center"/>
    </xf>
    <xf numFmtId="0" fontId="9" fillId="5" borderId="56" xfId="2" applyFont="1" applyFill="1" applyBorder="1" applyAlignment="1">
      <alignment horizontal="center" vertical="center" wrapText="1"/>
    </xf>
    <xf numFmtId="167" fontId="0" fillId="6" borderId="14" xfId="0" applyNumberFormat="1" applyFill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0" fontId="3" fillId="0" borderId="39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3" fillId="0" borderId="58" xfId="0" applyFont="1" applyBorder="1" applyAlignment="1">
      <alignment horizontal="justify" vertical="center" wrapText="1"/>
    </xf>
    <xf numFmtId="166" fontId="0" fillId="0" borderId="35" xfId="0" applyNumberFormat="1" applyBorder="1" applyAlignment="1">
      <alignment horizontal="center" vertical="center"/>
    </xf>
    <xf numFmtId="8" fontId="11" fillId="0" borderId="57" xfId="0" applyNumberFormat="1" applyFont="1" applyBorder="1" applyAlignment="1">
      <alignment horizontal="center" vertical="center"/>
    </xf>
  </cellXfs>
  <cellStyles count="4">
    <cellStyle name="20% — акцент1" xfId="1" builtinId="30"/>
    <cellStyle name="20% — акцент5" xfId="2" builtinId="46"/>
    <cellStyle name="Гиперссылка" xfId="3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1428750</xdr:colOff>
          <xdr:row>1</xdr:row>
          <xdr:rowOff>0</xdr:rowOff>
        </xdr:from>
        <xdr:to>
          <xdr:col>1</xdr:col>
          <xdr:colOff>2571750</xdr:colOff>
          <xdr:row>1</xdr:row>
          <xdr:rowOff>533400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1362075</xdr:colOff>
          <xdr:row>2</xdr:row>
          <xdr:rowOff>19050</xdr:rowOff>
        </xdr:from>
        <xdr:to>
          <xdr:col>1</xdr:col>
          <xdr:colOff>3067050</xdr:colOff>
          <xdr:row>2</xdr:row>
          <xdr:rowOff>476250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1752600</xdr:colOff>
          <xdr:row>4</xdr:row>
          <xdr:rowOff>104775</xdr:rowOff>
        </xdr:from>
        <xdr:to>
          <xdr:col>1</xdr:col>
          <xdr:colOff>2743200</xdr:colOff>
          <xdr:row>4</xdr:row>
          <xdr:rowOff>647700</xdr:rowOff>
        </xdr:to>
        <xdr:sp macro="" textlink="">
          <xdr:nvSpPr>
            <xdr:cNvPr id="1027" name="Object 4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1457325</xdr:colOff>
          <xdr:row>5</xdr:row>
          <xdr:rowOff>76200</xdr:rowOff>
        </xdr:from>
        <xdr:to>
          <xdr:col>1</xdr:col>
          <xdr:colOff>3067050</xdr:colOff>
          <xdr:row>5</xdr:row>
          <xdr:rowOff>523875</xdr:rowOff>
        </xdr:to>
        <xdr:sp macro="" textlink="">
          <xdr:nvSpPr>
            <xdr:cNvPr id="1028" name="Object 5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1962150</xdr:colOff>
          <xdr:row>3</xdr:row>
          <xdr:rowOff>38100</xdr:rowOff>
        </xdr:from>
        <xdr:to>
          <xdr:col>1</xdr:col>
          <xdr:colOff>3076575</xdr:colOff>
          <xdr:row>3</xdr:row>
          <xdr:rowOff>647700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1285875</xdr:colOff>
          <xdr:row>4</xdr:row>
          <xdr:rowOff>66675</xdr:rowOff>
        </xdr:from>
        <xdr:to>
          <xdr:col>1</xdr:col>
          <xdr:colOff>3133725</xdr:colOff>
          <xdr:row>4</xdr:row>
          <xdr:rowOff>581025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ex@tut.b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2"/>
  <sheetViews>
    <sheetView workbookViewId="0">
      <selection activeCell="H4" sqref="H4"/>
    </sheetView>
  </sheetViews>
  <sheetFormatPr defaultRowHeight="15" x14ac:dyDescent="0.25"/>
  <cols>
    <col min="2" max="2" width="48" customWidth="1"/>
    <col min="3" max="3" width="13.28515625" customWidth="1"/>
    <col min="4" max="4" width="13.140625" customWidth="1"/>
  </cols>
  <sheetData>
    <row r="1" spans="1:48" ht="30" x14ac:dyDescent="0.25">
      <c r="A1" s="151" t="s">
        <v>15</v>
      </c>
      <c r="B1" s="151" t="s">
        <v>14</v>
      </c>
      <c r="C1" s="154" t="s">
        <v>13</v>
      </c>
      <c r="D1" s="153" t="s">
        <v>12</v>
      </c>
      <c r="E1" s="56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48" ht="33.75" customHeight="1" x14ac:dyDescent="0.25">
      <c r="A2" s="138">
        <v>1</v>
      </c>
      <c r="B2" s="19" t="s">
        <v>11</v>
      </c>
      <c r="C2" s="5">
        <v>2</v>
      </c>
      <c r="D2" s="152">
        <f>SQRT((1+POWER(SIN(C2),3))/POWER(1+C2,2))</f>
        <v>0.4411886651950101</v>
      </c>
      <c r="E2" s="118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1:48" ht="31.5" customHeight="1" x14ac:dyDescent="0.25">
      <c r="A3" s="66">
        <v>2</v>
      </c>
      <c r="B3" s="12" t="s">
        <v>11</v>
      </c>
      <c r="C3" s="2">
        <v>10</v>
      </c>
      <c r="D3" s="149">
        <f>2*LN(1+POWER(C3,2))+((1+POWER(COS(C3),4))/(2+C3))</f>
        <v>9.3548805147825327</v>
      </c>
      <c r="E3" s="11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</row>
    <row r="4" spans="1:48" ht="41.25" customHeight="1" x14ac:dyDescent="0.25">
      <c r="A4" s="66">
        <v>3</v>
      </c>
      <c r="B4" s="139" t="s">
        <v>11</v>
      </c>
      <c r="C4" s="2">
        <v>8</v>
      </c>
      <c r="D4" s="149">
        <f>SQRT(1+ABS(C4))/(2+ABS(SIN(C4)))</f>
        <v>1.0035598789100098</v>
      </c>
      <c r="E4" s="118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</row>
    <row r="5" spans="1:48" ht="44.25" customHeight="1" x14ac:dyDescent="0.25">
      <c r="A5" s="66">
        <v>4</v>
      </c>
      <c r="B5" s="140" t="s">
        <v>11</v>
      </c>
      <c r="C5" s="2">
        <v>98</v>
      </c>
      <c r="D5" s="149">
        <f>POWER(SIN(C5),2)+(1+C5)/(1+POWER(COS(C5),2))</f>
        <v>59.566459206655935</v>
      </c>
      <c r="E5" s="118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</row>
    <row r="6" spans="1:48" ht="50.25" customHeight="1" thickBot="1" x14ac:dyDescent="0.3">
      <c r="A6" s="66">
        <v>5</v>
      </c>
      <c r="B6" s="14" t="s">
        <v>10</v>
      </c>
      <c r="C6" s="17">
        <v>78</v>
      </c>
      <c r="D6" s="150">
        <f>MOD(INT(C6),10)+MOD(INT(C6/10),10)+MOD(INT(C6/100),10)+MOD(INT(C6/1000),10)</f>
        <v>15</v>
      </c>
      <c r="E6" s="118"/>
      <c r="F6" s="44"/>
      <c r="G6" s="43"/>
      <c r="H6" s="43"/>
      <c r="I6" s="43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</row>
    <row r="7" spans="1:48" ht="48" thickBot="1" x14ac:dyDescent="0.3">
      <c r="A7" s="146">
        <v>6</v>
      </c>
      <c r="B7" s="145" t="s">
        <v>9</v>
      </c>
      <c r="C7" s="148">
        <v>3665</v>
      </c>
      <c r="D7" s="18" t="s">
        <v>62</v>
      </c>
      <c r="E7" s="141">
        <f>INT(C7/3600)</f>
        <v>1</v>
      </c>
      <c r="F7" s="38"/>
      <c r="G7" s="38"/>
      <c r="H7" s="38"/>
      <c r="I7" s="38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</row>
    <row r="8" spans="1:48" ht="30.75" customHeight="1" thickBot="1" x14ac:dyDescent="0.3">
      <c r="A8" s="122"/>
      <c r="B8" s="117"/>
      <c r="C8" s="147"/>
      <c r="D8" s="8" t="s">
        <v>63</v>
      </c>
      <c r="E8" s="142">
        <f>INT((C7-(E7*3600))/60)</f>
        <v>1</v>
      </c>
      <c r="F8" s="43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</row>
    <row r="9" spans="1:48" ht="32.25" customHeight="1" thickBot="1" x14ac:dyDescent="0.3">
      <c r="A9" s="123"/>
      <c r="B9" s="119"/>
      <c r="C9" s="119"/>
      <c r="D9" s="143" t="s">
        <v>64</v>
      </c>
      <c r="E9" s="144">
        <f>INT(C7-(E7*3600)-(E8*60))</f>
        <v>5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</row>
    <row r="10" spans="1:48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</row>
    <row r="11" spans="1:48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48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48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</row>
    <row r="14" spans="1:48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</row>
    <row r="15" spans="1:48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</row>
    <row r="16" spans="1:48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37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</row>
    <row r="21" spans="1:37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</row>
    <row r="22" spans="1:37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</row>
    <row r="23" spans="1:37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</row>
    <row r="24" spans="1:37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</row>
    <row r="25" spans="1:37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</row>
    <row r="27" spans="1:37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</row>
    <row r="43" spans="1:37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</row>
    <row r="44" spans="1:37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</row>
    <row r="45" spans="1:37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</row>
    <row r="46" spans="1:37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</row>
    <row r="47" spans="1:37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</row>
    <row r="48" spans="1:37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</row>
    <row r="49" spans="1:37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1:37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1:37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</row>
    <row r="52" spans="1:37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x14ac:dyDescent="0.25">
      <c r="A62" s="44"/>
      <c r="B62" s="44"/>
      <c r="C62" s="44"/>
      <c r="D62" s="44"/>
      <c r="E62" s="44"/>
      <c r="F62" s="4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1428750</xdr:colOff>
                <xdr:row>1</xdr:row>
                <xdr:rowOff>0</xdr:rowOff>
              </from>
              <to>
                <xdr:col>1</xdr:col>
                <xdr:colOff>2571750</xdr:colOff>
                <xdr:row>1</xdr:row>
                <xdr:rowOff>533400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1362075</xdr:colOff>
                <xdr:row>2</xdr:row>
                <xdr:rowOff>19050</xdr:rowOff>
              </from>
              <to>
                <xdr:col>1</xdr:col>
                <xdr:colOff>3067050</xdr:colOff>
                <xdr:row>2</xdr:row>
                <xdr:rowOff>476250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</xdr:col>
                <xdr:colOff>1752600</xdr:colOff>
                <xdr:row>4</xdr:row>
                <xdr:rowOff>104775</xdr:rowOff>
              </from>
              <to>
                <xdr:col>1</xdr:col>
                <xdr:colOff>2743200</xdr:colOff>
                <xdr:row>4</xdr:row>
                <xdr:rowOff>647700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</xdr:col>
                <xdr:colOff>1457325</xdr:colOff>
                <xdr:row>5</xdr:row>
                <xdr:rowOff>76200</xdr:rowOff>
              </from>
              <to>
                <xdr:col>1</xdr:col>
                <xdr:colOff>3067050</xdr:colOff>
                <xdr:row>5</xdr:row>
                <xdr:rowOff>523875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9">
            <anchor moveWithCells="1" sizeWithCells="1">
              <from>
                <xdr:col>1</xdr:col>
                <xdr:colOff>1962150</xdr:colOff>
                <xdr:row>3</xdr:row>
                <xdr:rowOff>38100</xdr:rowOff>
              </from>
              <to>
                <xdr:col>1</xdr:col>
                <xdr:colOff>3076575</xdr:colOff>
                <xdr:row>3</xdr:row>
                <xdr:rowOff>647700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3">
          <objectPr defaultSize="0" autoPict="0" r:id="rId11">
            <anchor moveWithCells="1" sizeWithCells="1">
              <from>
                <xdr:col>1</xdr:col>
                <xdr:colOff>1285875</xdr:colOff>
                <xdr:row>4</xdr:row>
                <xdr:rowOff>66675</xdr:rowOff>
              </from>
              <to>
                <xdr:col>1</xdr:col>
                <xdr:colOff>3133725</xdr:colOff>
                <xdr:row>4</xdr:row>
                <xdr:rowOff>581025</xdr:rowOff>
              </to>
            </anchor>
          </objectPr>
        </oleObject>
      </mc:Choice>
      <mc:Fallback>
        <oleObject progId="Equation.3" shapeId="1030" r:id="rId1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workbookViewId="0">
      <selection activeCell="B23" sqref="B23"/>
    </sheetView>
  </sheetViews>
  <sheetFormatPr defaultRowHeight="15" x14ac:dyDescent="0.25"/>
  <cols>
    <col min="1" max="1" width="18.5703125" customWidth="1"/>
    <col min="2" max="3" width="10.140625" customWidth="1"/>
    <col min="4" max="4" width="30.28515625" customWidth="1"/>
    <col min="8" max="8" width="44.85546875" customWidth="1"/>
    <col min="10" max="10" width="14.42578125" customWidth="1"/>
    <col min="15" max="15" width="24.140625" customWidth="1"/>
  </cols>
  <sheetData>
    <row r="1" spans="1:27" ht="34.5" customHeight="1" thickBot="1" x14ac:dyDescent="0.3">
      <c r="A1" s="27">
        <v>1</v>
      </c>
      <c r="B1" s="48"/>
      <c r="C1" s="28" t="s">
        <v>8</v>
      </c>
      <c r="D1" s="23" t="s">
        <v>7</v>
      </c>
      <c r="E1" s="20">
        <f>COUNTIF(A1:A10,"???")</f>
        <v>1</v>
      </c>
      <c r="F1" s="47"/>
      <c r="G1" s="47"/>
      <c r="H1" s="55" t="s">
        <v>68</v>
      </c>
      <c r="I1" s="54"/>
      <c r="J1" s="39" t="s">
        <v>84</v>
      </c>
      <c r="K1" s="56">
        <v>2</v>
      </c>
      <c r="L1" s="31" t="s">
        <v>67</v>
      </c>
      <c r="M1" s="32"/>
      <c r="N1" s="32"/>
      <c r="O1" s="32"/>
      <c r="P1" s="39">
        <f>COUNTIF(H1:H34,"*"&amp;J1&amp;"*")</f>
        <v>3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30.75" thickBot="1" x14ac:dyDescent="0.3">
      <c r="A2" s="27" t="s">
        <v>65</v>
      </c>
      <c r="B2" s="49"/>
      <c r="C2" s="29" t="s">
        <v>6</v>
      </c>
      <c r="D2" s="24" t="s">
        <v>5</v>
      </c>
      <c r="E2" s="21">
        <f>COUNTIFS(A1:A10,"&gt;0",A1:A10,"&lt;10")</f>
        <v>4</v>
      </c>
      <c r="F2" s="43"/>
      <c r="G2" s="43"/>
      <c r="H2" s="55" t="s">
        <v>69</v>
      </c>
      <c r="I2" s="42"/>
      <c r="J2" s="7"/>
      <c r="K2" s="36">
        <v>3</v>
      </c>
      <c r="L2" s="33" t="s">
        <v>0</v>
      </c>
      <c r="M2" s="34"/>
      <c r="N2" s="34"/>
      <c r="O2" s="34"/>
      <c r="P2" s="39">
        <f>SUMPRODUCT(--(COUNTIF(H1:H34,H1:H34)&gt;1))</f>
        <v>26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 ht="15.75" thickBot="1" x14ac:dyDescent="0.3">
      <c r="A3" s="27">
        <v>1</v>
      </c>
      <c r="B3" s="50"/>
      <c r="C3" s="30" t="s">
        <v>4</v>
      </c>
      <c r="D3" s="25" t="s">
        <v>3</v>
      </c>
      <c r="E3" s="21">
        <f>COUNTIF(A1:A10,"&gt;"&amp;A1)</f>
        <v>3</v>
      </c>
      <c r="F3" s="43"/>
      <c r="G3" s="43"/>
      <c r="H3" s="55" t="s">
        <v>70</v>
      </c>
      <c r="I3" s="43"/>
      <c r="J3" s="43"/>
      <c r="K3" s="43"/>
      <c r="L3" s="43"/>
      <c r="M3" s="44"/>
      <c r="N3" s="44"/>
      <c r="O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30.75" thickBot="1" x14ac:dyDescent="0.3">
      <c r="A4" s="27">
        <v>-5</v>
      </c>
      <c r="B4" s="49"/>
      <c r="C4" s="30" t="s">
        <v>2</v>
      </c>
      <c r="D4" s="26" t="s">
        <v>1</v>
      </c>
      <c r="E4" s="22">
        <f>COUNTIF(A1:A10,"&lt;0")</f>
        <v>2</v>
      </c>
      <c r="F4" s="43"/>
      <c r="G4" s="43"/>
      <c r="H4" s="55" t="s">
        <v>71</v>
      </c>
      <c r="I4" s="43"/>
      <c r="J4" s="43"/>
      <c r="K4" s="43"/>
      <c r="L4" s="4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5.75" thickBot="1" x14ac:dyDescent="0.3">
      <c r="A5" s="27">
        <v>13</v>
      </c>
      <c r="B5" s="49"/>
      <c r="C5" s="49"/>
      <c r="D5" s="49"/>
      <c r="E5" s="52"/>
      <c r="F5" s="43"/>
      <c r="G5" s="43"/>
      <c r="H5" s="55" t="s">
        <v>72</v>
      </c>
      <c r="I5" s="43"/>
      <c r="J5" s="43"/>
      <c r="K5" s="43"/>
      <c r="L5" s="43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15.75" thickBot="1" x14ac:dyDescent="0.3">
      <c r="A6" s="27">
        <v>6</v>
      </c>
      <c r="B6" s="49"/>
      <c r="C6" s="49"/>
      <c r="D6" s="49"/>
      <c r="E6" s="52"/>
      <c r="F6" s="43"/>
      <c r="G6" s="43"/>
      <c r="H6" s="55" t="s">
        <v>73</v>
      </c>
      <c r="I6" s="43"/>
      <c r="J6" s="43"/>
      <c r="K6" s="43"/>
      <c r="L6" s="43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ht="15.75" thickBot="1" x14ac:dyDescent="0.3">
      <c r="A7" s="27">
        <v>54</v>
      </c>
      <c r="B7" s="49"/>
      <c r="C7" s="49"/>
      <c r="D7" s="49"/>
      <c r="E7" s="52"/>
      <c r="F7" s="43"/>
      <c r="G7" s="43"/>
      <c r="H7" s="55" t="s">
        <v>74</v>
      </c>
      <c r="I7" s="43"/>
      <c r="J7" s="43"/>
      <c r="K7" s="43"/>
      <c r="L7" s="43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ht="15.75" thickBot="1" x14ac:dyDescent="0.3">
      <c r="A8" s="27">
        <v>-81</v>
      </c>
      <c r="B8" s="49"/>
      <c r="C8" s="49"/>
      <c r="D8" s="49"/>
      <c r="E8" s="52"/>
      <c r="F8" s="43"/>
      <c r="G8" s="43"/>
      <c r="H8" s="55" t="s">
        <v>75</v>
      </c>
      <c r="I8" s="43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 ht="29.25" thickBot="1" x14ac:dyDescent="0.3">
      <c r="A9" s="27">
        <v>1</v>
      </c>
      <c r="B9" s="49"/>
      <c r="C9" s="49"/>
      <c r="D9" s="49"/>
      <c r="E9" s="52"/>
      <c r="F9" s="43"/>
      <c r="G9" s="43"/>
      <c r="H9" s="55" t="s">
        <v>76</v>
      </c>
      <c r="I9" s="43"/>
      <c r="J9" s="43"/>
      <c r="K9" s="43"/>
      <c r="L9" s="43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 ht="29.25" thickBot="1" x14ac:dyDescent="0.3">
      <c r="A10" s="27" t="s">
        <v>66</v>
      </c>
      <c r="B10" s="51"/>
      <c r="C10" s="51"/>
      <c r="D10" s="51"/>
      <c r="E10" s="53"/>
      <c r="F10" s="43"/>
      <c r="G10" s="43"/>
      <c r="H10" s="55" t="s">
        <v>77</v>
      </c>
      <c r="I10" s="43"/>
      <c r="J10" s="43"/>
      <c r="K10" s="43"/>
      <c r="L10" s="43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28.5" x14ac:dyDescent="0.25">
      <c r="A11" s="43"/>
      <c r="B11" s="43"/>
      <c r="C11" s="43"/>
      <c r="D11" s="43"/>
      <c r="E11" s="44"/>
      <c r="F11" s="43"/>
      <c r="G11" s="43"/>
      <c r="H11" s="55" t="s">
        <v>78</v>
      </c>
      <c r="I11" s="43"/>
      <c r="J11" s="43"/>
      <c r="K11" s="43"/>
      <c r="L11" s="43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30.75" customHeight="1" x14ac:dyDescent="0.25">
      <c r="A12" s="41"/>
      <c r="B12" s="38"/>
      <c r="C12" s="40"/>
      <c r="D12" s="42"/>
      <c r="E12" s="38"/>
      <c r="F12" s="43"/>
      <c r="G12" s="43"/>
      <c r="H12" s="55" t="s">
        <v>79</v>
      </c>
      <c r="I12" s="43"/>
      <c r="J12" s="43"/>
      <c r="K12" s="43"/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ht="33" customHeight="1" x14ac:dyDescent="0.25">
      <c r="A13" s="41"/>
      <c r="B13" s="43"/>
      <c r="C13" s="40"/>
      <c r="D13" s="42"/>
      <c r="E13" s="38"/>
      <c r="F13" s="43"/>
      <c r="G13" s="43"/>
      <c r="H13" s="55" t="s">
        <v>78</v>
      </c>
      <c r="I13" s="43"/>
      <c r="J13" s="43"/>
      <c r="K13" s="43"/>
      <c r="L13" s="43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38.25" customHeight="1" x14ac:dyDescent="0.25">
      <c r="A14" s="41"/>
      <c r="B14" s="43"/>
      <c r="C14" s="40"/>
      <c r="D14" s="43"/>
      <c r="E14" s="43"/>
      <c r="F14" s="43"/>
      <c r="G14" s="43"/>
      <c r="H14" s="55" t="s">
        <v>79</v>
      </c>
      <c r="I14" s="43"/>
      <c r="J14" s="43"/>
      <c r="K14" s="43"/>
      <c r="L14" s="43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32.25" customHeight="1" x14ac:dyDescent="0.25">
      <c r="A15" s="41"/>
      <c r="B15" s="43"/>
      <c r="C15" s="43"/>
      <c r="D15" s="43"/>
      <c r="E15" s="44"/>
      <c r="F15" s="43"/>
      <c r="G15" s="43"/>
      <c r="H15" s="55" t="s">
        <v>80</v>
      </c>
      <c r="I15" s="43"/>
      <c r="J15" s="43"/>
      <c r="K15" s="43"/>
      <c r="L15" s="4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32.25" customHeight="1" x14ac:dyDescent="0.25">
      <c r="A16" s="41"/>
      <c r="B16" s="43"/>
      <c r="C16" s="43"/>
      <c r="D16" s="43"/>
      <c r="E16" s="44"/>
      <c r="F16" s="43"/>
      <c r="G16" s="43"/>
      <c r="H16" s="55" t="s">
        <v>81</v>
      </c>
      <c r="I16" s="43"/>
      <c r="J16" s="43"/>
      <c r="K16" s="43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x14ac:dyDescent="0.25">
      <c r="A17" s="41"/>
      <c r="B17" s="43"/>
      <c r="C17" s="43"/>
      <c r="D17" s="43"/>
      <c r="E17" s="44"/>
      <c r="F17" s="44"/>
      <c r="G17" s="44"/>
      <c r="H17" s="55" t="s">
        <v>82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x14ac:dyDescent="0.25">
      <c r="A18" s="41"/>
      <c r="B18" s="43"/>
      <c r="C18" s="43"/>
      <c r="D18" s="43"/>
      <c r="E18" s="44"/>
      <c r="F18" s="44"/>
      <c r="G18" s="44"/>
      <c r="H18" s="55" t="s">
        <v>83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31.5" customHeight="1" x14ac:dyDescent="0.25">
      <c r="A19" s="41"/>
      <c r="B19" s="38"/>
      <c r="C19" s="43"/>
      <c r="D19" s="43"/>
      <c r="E19" s="44"/>
      <c r="F19" s="44"/>
      <c r="G19" s="45"/>
      <c r="H19" s="55" t="s">
        <v>72</v>
      </c>
      <c r="I19" s="4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x14ac:dyDescent="0.25">
      <c r="A20" s="41"/>
      <c r="B20" s="38"/>
      <c r="C20" s="43"/>
      <c r="D20" s="43"/>
      <c r="E20" s="44"/>
      <c r="F20" s="44"/>
      <c r="G20" s="46"/>
      <c r="H20" s="55" t="s">
        <v>73</v>
      </c>
      <c r="I20" s="4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x14ac:dyDescent="0.25">
      <c r="A21" s="41"/>
      <c r="B21" s="43"/>
      <c r="C21" s="43"/>
      <c r="D21" s="43"/>
      <c r="E21" s="44"/>
      <c r="F21" s="43"/>
      <c r="G21" s="43"/>
      <c r="H21" s="55" t="s">
        <v>74</v>
      </c>
      <c r="I21" s="43"/>
      <c r="J21" s="43"/>
      <c r="K21" s="43"/>
      <c r="L21" s="4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 ht="45" customHeight="1" x14ac:dyDescent="0.25">
      <c r="A22" s="45"/>
      <c r="B22" s="43"/>
      <c r="C22" s="43"/>
      <c r="D22" s="43"/>
      <c r="E22" s="44"/>
      <c r="F22" s="43"/>
      <c r="G22" s="45"/>
      <c r="H22" s="55" t="s">
        <v>75</v>
      </c>
      <c r="I22" s="43"/>
      <c r="J22" s="43"/>
      <c r="K22" s="43"/>
      <c r="L22" s="43"/>
      <c r="M22" s="43"/>
      <c r="N22" s="43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 ht="28.5" x14ac:dyDescent="0.25">
      <c r="A23" s="46"/>
      <c r="B23" s="43"/>
      <c r="C23" s="43"/>
      <c r="D23" s="43"/>
      <c r="E23" s="44"/>
      <c r="F23" s="43"/>
      <c r="G23" s="46"/>
      <c r="H23" s="55" t="s">
        <v>76</v>
      </c>
      <c r="I23" s="43"/>
      <c r="J23" s="43"/>
      <c r="K23" s="43"/>
      <c r="L23" s="43"/>
      <c r="M23" s="43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 ht="28.5" x14ac:dyDescent="0.25">
      <c r="A24" s="44"/>
      <c r="B24" s="44"/>
      <c r="C24" s="44"/>
      <c r="D24" s="44"/>
      <c r="E24" s="44"/>
      <c r="F24" s="44"/>
      <c r="G24" s="44"/>
      <c r="H24" s="55" t="s">
        <v>77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 ht="28.5" x14ac:dyDescent="0.25">
      <c r="A25" s="44"/>
      <c r="B25" s="44"/>
      <c r="C25" s="44"/>
      <c r="D25" s="44"/>
      <c r="E25" s="44"/>
      <c r="F25" s="44"/>
      <c r="G25" s="44"/>
      <c r="H25" s="55" t="s">
        <v>78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 ht="28.5" x14ac:dyDescent="0.25">
      <c r="A26" s="44"/>
      <c r="B26" s="44"/>
      <c r="C26" s="44"/>
      <c r="D26" s="44"/>
      <c r="E26" s="44"/>
      <c r="F26" s="44"/>
      <c r="G26" s="44"/>
      <c r="H26" s="55" t="s">
        <v>79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 ht="28.5" x14ac:dyDescent="0.25">
      <c r="A27" s="44"/>
      <c r="B27" s="44"/>
      <c r="C27" s="44"/>
      <c r="D27" s="44"/>
      <c r="E27" s="44"/>
      <c r="F27" s="44"/>
      <c r="G27" s="44"/>
      <c r="H27" s="55" t="s">
        <v>78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28.5" x14ac:dyDescent="0.25">
      <c r="A28" s="44"/>
      <c r="B28" s="44"/>
      <c r="C28" s="44"/>
      <c r="D28" s="44"/>
      <c r="E28" s="44"/>
      <c r="F28" s="44"/>
      <c r="G28" s="44"/>
      <c r="H28" s="55" t="s">
        <v>79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28.5" x14ac:dyDescent="0.25">
      <c r="A29" s="44"/>
      <c r="B29" s="44"/>
      <c r="C29" s="44"/>
      <c r="D29" s="44"/>
      <c r="E29" s="44"/>
      <c r="F29" s="44"/>
      <c r="G29" s="44"/>
      <c r="H29" s="55" t="s">
        <v>76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28.5" x14ac:dyDescent="0.25">
      <c r="A30" s="44"/>
      <c r="B30" s="44"/>
      <c r="C30" s="44"/>
      <c r="D30" s="44"/>
      <c r="E30" s="44"/>
      <c r="F30" s="44"/>
      <c r="G30" s="44"/>
      <c r="H30" s="55" t="s">
        <v>77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28.5" x14ac:dyDescent="0.25">
      <c r="A31" s="44"/>
      <c r="B31" s="44"/>
      <c r="C31" s="44"/>
      <c r="D31" s="44"/>
      <c r="E31" s="44"/>
      <c r="F31" s="44"/>
      <c r="G31" s="44"/>
      <c r="H31" s="55" t="s">
        <v>78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28.5" x14ac:dyDescent="0.25">
      <c r="A32" s="44"/>
      <c r="B32" s="44"/>
      <c r="C32" s="44"/>
      <c r="D32" s="44"/>
      <c r="E32" s="44"/>
      <c r="F32" s="44"/>
      <c r="G32" s="44"/>
      <c r="H32" s="55" t="s">
        <v>79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28.5" x14ac:dyDescent="0.25">
      <c r="A33" s="44"/>
      <c r="B33" s="44"/>
      <c r="C33" s="44"/>
      <c r="D33" s="44"/>
      <c r="E33" s="44"/>
      <c r="F33" s="44"/>
      <c r="G33" s="44"/>
      <c r="H33" s="55" t="s">
        <v>78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28.5" x14ac:dyDescent="0.25">
      <c r="A34" s="44"/>
      <c r="B34" s="44"/>
      <c r="C34" s="44"/>
      <c r="D34" s="44"/>
      <c r="E34" s="44"/>
      <c r="F34" s="44"/>
      <c r="G34" s="44"/>
      <c r="H34" s="55" t="s">
        <v>79</v>
      </c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x14ac:dyDescent="0.25"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x14ac:dyDescent="0.25"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x14ac:dyDescent="0.25"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x14ac:dyDescent="0.25"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x14ac:dyDescent="0.25"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x14ac:dyDescent="0.25"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x14ac:dyDescent="0.25"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x14ac:dyDescent="0.25"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workbookViewId="0">
      <selection activeCell="H2" sqref="H2"/>
    </sheetView>
  </sheetViews>
  <sheetFormatPr defaultRowHeight="15" x14ac:dyDescent="0.25"/>
  <cols>
    <col min="2" max="2" width="11.5703125" bestFit="1" customWidth="1"/>
    <col min="4" max="4" width="60.42578125" customWidth="1"/>
    <col min="5" max="5" width="9.5703125" bestFit="1" customWidth="1"/>
    <col min="18" max="18" width="10" customWidth="1"/>
  </cols>
  <sheetData>
    <row r="1" spans="1:38" ht="48" thickBot="1" x14ac:dyDescent="0.3">
      <c r="A1" s="59" t="s">
        <v>24</v>
      </c>
      <c r="B1" s="60">
        <v>2</v>
      </c>
      <c r="C1" s="121"/>
      <c r="D1" s="69" t="s">
        <v>23</v>
      </c>
      <c r="E1" s="135" t="b">
        <f>IF(AND(B3&gt;=B1,B3&lt;=B2),TRUE,FALSE)</f>
        <v>1</v>
      </c>
      <c r="F1" s="44"/>
      <c r="G1" s="44"/>
      <c r="H1" s="44"/>
      <c r="I1" s="44"/>
      <c r="J1" s="44"/>
      <c r="K1" s="44"/>
      <c r="L1" s="44"/>
      <c r="M1" s="44"/>
      <c r="N1" s="44"/>
      <c r="O1" s="43"/>
      <c r="P1" s="43"/>
      <c r="Q1" s="44"/>
      <c r="R1" s="57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ht="48" thickBot="1" x14ac:dyDescent="0.3">
      <c r="A2" s="63" t="s">
        <v>22</v>
      </c>
      <c r="B2" s="64">
        <v>6</v>
      </c>
      <c r="C2" s="117"/>
      <c r="D2" s="15" t="s">
        <v>85</v>
      </c>
      <c r="E2" s="136" t="b">
        <f>IF(OR(AND(B3&gt;-2,B3&lt;=4), AND(B3&gt;=7,B3 &lt;12), AND(B3&gt;=20,)),TRUE,FALSE)</f>
        <v>1</v>
      </c>
      <c r="F2" s="44"/>
      <c r="G2" s="44"/>
      <c r="H2" s="44"/>
      <c r="I2" s="44"/>
      <c r="J2" s="44"/>
      <c r="K2" s="44"/>
      <c r="L2" s="44"/>
      <c r="M2" s="44"/>
      <c r="N2" s="44"/>
      <c r="O2" s="43"/>
      <c r="P2" s="43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1:38" ht="16.5" thickBot="1" x14ac:dyDescent="0.3">
      <c r="A3" s="61" t="s">
        <v>16</v>
      </c>
      <c r="B3" s="62">
        <v>4</v>
      </c>
      <c r="C3" s="117"/>
      <c r="D3" s="133"/>
      <c r="E3" s="118"/>
      <c r="F3" s="44"/>
      <c r="G3" s="44"/>
      <c r="H3" s="44"/>
      <c r="I3" s="44"/>
      <c r="J3" s="44"/>
      <c r="K3" s="44"/>
      <c r="L3" s="44"/>
      <c r="M3" s="44"/>
      <c r="N3" s="44"/>
      <c r="O3" s="43"/>
      <c r="P3" s="43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1:38" ht="15.75" thickBot="1" x14ac:dyDescent="0.3">
      <c r="A4" s="134"/>
      <c r="B4" s="117"/>
      <c r="C4" s="117"/>
      <c r="D4" s="117"/>
      <c r="E4" s="118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1:38" ht="60.75" thickBot="1" x14ac:dyDescent="0.3">
      <c r="A5" s="65" t="s">
        <v>21</v>
      </c>
      <c r="B5" s="156">
        <v>269852</v>
      </c>
      <c r="C5" s="117"/>
      <c r="D5" s="10" t="s">
        <v>20</v>
      </c>
      <c r="E5" s="155">
        <f>IF(B5&lt;5000,B5*5%,IF(B5&lt;10000,B5*3%,B5*2%))</f>
        <v>5397.04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</row>
    <row r="6" spans="1:38" x14ac:dyDescent="0.25">
      <c r="A6" s="122"/>
      <c r="B6" s="117"/>
      <c r="C6" s="117"/>
      <c r="D6" s="117"/>
      <c r="E6" s="118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</row>
    <row r="7" spans="1:38" ht="48" thickBot="1" x14ac:dyDescent="0.3">
      <c r="A7" s="122"/>
      <c r="B7" s="117"/>
      <c r="C7" s="117"/>
      <c r="D7" s="11" t="s">
        <v>19</v>
      </c>
      <c r="E7" s="118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</row>
    <row r="8" spans="1:38" ht="16.5" thickBot="1" x14ac:dyDescent="0.3">
      <c r="A8" s="63" t="s">
        <v>18</v>
      </c>
      <c r="B8" s="63">
        <v>5</v>
      </c>
      <c r="C8" s="117"/>
      <c r="D8" s="68" t="s">
        <v>86</v>
      </c>
      <c r="E8" s="136" t="b">
        <f>IF(AND(B8&gt;0,B9&gt;0,B10&gt;0),TRUE,FALSE)</f>
        <v>0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</row>
    <row r="9" spans="1:38" ht="16.5" thickBot="1" x14ac:dyDescent="0.3">
      <c r="A9" s="61" t="s">
        <v>17</v>
      </c>
      <c r="B9" s="63">
        <v>9</v>
      </c>
      <c r="C9" s="117"/>
      <c r="D9" s="68" t="s">
        <v>87</v>
      </c>
      <c r="E9" s="136" t="b">
        <f>IF(OR(B8&gt;0,B9&gt;0,B10&gt;0),TRUE,FALSE)</f>
        <v>1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</row>
    <row r="10" spans="1:38" ht="16.5" thickBot="1" x14ac:dyDescent="0.3">
      <c r="A10" s="61" t="s">
        <v>16</v>
      </c>
      <c r="B10" s="62">
        <v>-3</v>
      </c>
      <c r="C10" s="117"/>
      <c r="D10" s="68" t="s">
        <v>88</v>
      </c>
      <c r="E10" s="136" t="b">
        <f>IF(OR(AND(B8&gt;0,B9&lt;0,B10&lt;0),AND(B8&lt;0,B9&gt;0,B10&lt;0),AND(B8&lt;0,B9&lt;0,B10&gt;0)),TRUE,FALSE)</f>
        <v>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</row>
    <row r="11" spans="1:38" ht="15.75" x14ac:dyDescent="0.25">
      <c r="A11" s="122"/>
      <c r="B11" s="117"/>
      <c r="C11" s="117"/>
      <c r="D11" s="68" t="s">
        <v>89</v>
      </c>
      <c r="E11" s="136" t="b">
        <f>IF(AND(B8&lt;0,B9&lt;0,B10&lt;0),TRUE,FALSE)</f>
        <v>0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 ht="16.5" thickBot="1" x14ac:dyDescent="0.3">
      <c r="A12" s="123"/>
      <c r="B12" s="119"/>
      <c r="C12" s="119"/>
      <c r="D12" s="70" t="s">
        <v>90</v>
      </c>
      <c r="E12" s="137" t="b">
        <f>IF(OR(B8&lt;0,B9&lt;0,B10&lt;0),TRUE,FALSE)</f>
        <v>1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 ht="15.75" x14ac:dyDescent="0.25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38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38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</row>
    <row r="16" spans="1:38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</row>
    <row r="17" spans="1:38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</row>
    <row r="18" spans="1:38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</row>
    <row r="19" spans="1:38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</row>
    <row r="20" spans="1:38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</row>
    <row r="21" spans="1:38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</row>
    <row r="22" spans="1:38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1:38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1:38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</row>
    <row r="27" spans="1:38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x14ac:dyDescent="0.25">
      <c r="C39" s="44"/>
      <c r="D39" s="44"/>
      <c r="E39" s="44"/>
      <c r="F39" s="44"/>
      <c r="G39" s="44"/>
      <c r="H39" s="44"/>
      <c r="I39" s="44"/>
      <c r="J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x14ac:dyDescent="0.25">
      <c r="C40" s="44"/>
      <c r="D40" s="44"/>
      <c r="E40" s="44"/>
      <c r="F40" s="44"/>
      <c r="G40" s="44"/>
      <c r="H40" s="44"/>
      <c r="I40" s="44"/>
      <c r="J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x14ac:dyDescent="0.25">
      <c r="C41" s="44"/>
      <c r="D41" s="44"/>
      <c r="E41" s="44"/>
      <c r="F41" s="44"/>
      <c r="G41" s="44"/>
      <c r="H41" s="44"/>
      <c r="I41" s="44"/>
      <c r="J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workbookViewId="0">
      <selection activeCell="G9" sqref="G9"/>
    </sheetView>
  </sheetViews>
  <sheetFormatPr defaultRowHeight="15" x14ac:dyDescent="0.25"/>
  <cols>
    <col min="1" max="1" width="51" customWidth="1"/>
    <col min="2" max="2" width="41.140625" customWidth="1"/>
    <col min="3" max="3" width="23.140625" customWidth="1"/>
    <col min="4" max="4" width="20.140625" customWidth="1"/>
  </cols>
  <sheetData>
    <row r="1" spans="1:30" ht="15.75" thickBot="1" x14ac:dyDescent="0.3">
      <c r="A1" s="77" t="s">
        <v>14</v>
      </c>
      <c r="B1" s="80" t="s">
        <v>13</v>
      </c>
      <c r="C1" s="79" t="s">
        <v>12</v>
      </c>
      <c r="D1" s="130" t="s">
        <v>113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</row>
    <row r="2" spans="1:30" ht="54" customHeight="1" thickBot="1" x14ac:dyDescent="0.3">
      <c r="A2" s="74" t="s">
        <v>30</v>
      </c>
      <c r="B2" s="78" t="s">
        <v>91</v>
      </c>
      <c r="C2" s="37">
        <f>SEARCH("-",B2)</f>
        <v>6</v>
      </c>
      <c r="D2" s="132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</row>
    <row r="3" spans="1:30" ht="63" customHeight="1" thickBot="1" x14ac:dyDescent="0.3">
      <c r="A3" s="74" t="s">
        <v>29</v>
      </c>
      <c r="B3" s="72" t="s">
        <v>92</v>
      </c>
      <c r="C3" s="17">
        <f>LEN(B3)-LEN(SUBSTITUTE(B3,D3,""))</f>
        <v>2</v>
      </c>
      <c r="D3" s="71" t="s">
        <v>93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30" ht="32.25" thickBot="1" x14ac:dyDescent="0.3">
      <c r="A4" s="76" t="s">
        <v>28</v>
      </c>
      <c r="B4" s="72" t="s">
        <v>94</v>
      </c>
      <c r="C4" s="2" t="str">
        <f>IF(ISERR(FIND(" ",B4)),B4,RIGHT(B4,LEN(B4)-FIND("*",SUBSTITUTE(B4," ","*",LEN(B4)-LEN(SUBSTITUTE(B4," ",""))))))</f>
        <v>переверну</v>
      </c>
      <c r="D4" s="11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</row>
    <row r="5" spans="1:30" ht="53.25" customHeight="1" thickBot="1" x14ac:dyDescent="0.3">
      <c r="A5" s="75" t="s">
        <v>27</v>
      </c>
      <c r="B5" s="73" t="s">
        <v>26</v>
      </c>
      <c r="C5" s="13" t="str">
        <f>CONCATENATE(LEFT(REPLACE(B5,1,4,UPPER(LEFT(B5,4))),4),RIGHT(REPLACE(B5,5,1," зарегистрирован на "),26))</f>
        <v>ALEX зарегистрирован на tut.by</v>
      </c>
      <c r="D5" s="118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spans="1:30" ht="32.25" thickBot="1" x14ac:dyDescent="0.3">
      <c r="A6" s="75" t="s">
        <v>25</v>
      </c>
      <c r="B6" s="131" t="s">
        <v>95</v>
      </c>
      <c r="C6" s="115">
        <f>IF(LEN(TRIM(B6))=0,0,LEN(TRIM(B6))-LEN(SUBSTITUTE(B6," ", ""))+1)</f>
        <v>3</v>
      </c>
      <c r="D6" s="120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</row>
    <row r="7" spans="1:30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spans="1:30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</row>
    <row r="9" spans="1:30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spans="1:30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</row>
    <row r="11" spans="1:30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30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</row>
    <row r="13" spans="1:30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</row>
    <row r="14" spans="1:30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</row>
    <row r="15" spans="1:30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 spans="1:30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</row>
    <row r="17" spans="1:3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30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 spans="1:30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</row>
    <row r="20" spans="1:30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</row>
    <row r="21" spans="1:3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</row>
    <row r="22" spans="1:3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</row>
    <row r="23" spans="1:3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</row>
    <row r="24" spans="1:30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</row>
    <row r="25" spans="1:30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</row>
    <row r="26" spans="1:30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</row>
    <row r="27" spans="1:30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</row>
    <row r="28" spans="1:30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</row>
    <row r="29" spans="1:30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spans="1:30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 spans="1:30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30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</row>
    <row r="33" spans="1:30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</row>
    <row r="34" spans="1:30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</row>
    <row r="35" spans="1:30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 spans="1:30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</row>
    <row r="37" spans="1:30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</row>
    <row r="38" spans="1:30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</row>
    <row r="39" spans="1:30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</row>
    <row r="40" spans="1:30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</row>
    <row r="41" spans="1:30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</row>
    <row r="42" spans="1:30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</row>
    <row r="43" spans="1:30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</row>
    <row r="44" spans="1:30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</row>
    <row r="45" spans="1:30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30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</row>
    <row r="47" spans="1:30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</row>
    <row r="48" spans="1:30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1:30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</row>
    <row r="50" spans="1:30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</row>
    <row r="51" spans="1:30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</row>
    <row r="52" spans="1:30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</row>
    <row r="53" spans="1:30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</row>
    <row r="54" spans="1:30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</row>
    <row r="55" spans="1:30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</row>
    <row r="56" spans="1:30" x14ac:dyDescent="0.25"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</row>
    <row r="57" spans="1:30" x14ac:dyDescent="0.25"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</row>
  </sheetData>
  <hyperlinks>
    <hyperlink ref="B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C20" sqref="C20"/>
    </sheetView>
  </sheetViews>
  <sheetFormatPr defaultRowHeight="15" x14ac:dyDescent="0.25"/>
  <cols>
    <col min="1" max="1" width="43.5703125" style="3" customWidth="1"/>
    <col min="2" max="2" width="21.28515625" style="3" customWidth="1"/>
    <col min="3" max="3" width="17.28515625" customWidth="1"/>
  </cols>
  <sheetData>
    <row r="1" spans="1:25" ht="16.5" customHeight="1" x14ac:dyDescent="0.25">
      <c r="A1" s="83" t="s">
        <v>14</v>
      </c>
      <c r="B1" s="84" t="s">
        <v>13</v>
      </c>
      <c r="C1" s="85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ht="40.5" customHeight="1" x14ac:dyDescent="0.25">
      <c r="A2" s="86" t="s">
        <v>59</v>
      </c>
      <c r="B2" s="1">
        <v>44450</v>
      </c>
      <c r="C2" s="87">
        <f xml:space="preserve"> B2-DATE(YEAR(B2),1,1)+1</f>
        <v>254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5" ht="39" customHeight="1" x14ac:dyDescent="0.25">
      <c r="A3" s="86" t="s">
        <v>58</v>
      </c>
      <c r="B3" s="82">
        <v>44450</v>
      </c>
      <c r="C3" s="88" t="str">
        <f>TEXT(B3+1,"ДДДД")</f>
        <v>воскресенье</v>
      </c>
      <c r="D3" s="38"/>
      <c r="E3" s="38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113.25" customHeight="1" x14ac:dyDescent="0.25">
      <c r="A4" s="86" t="s">
        <v>57</v>
      </c>
      <c r="B4" s="16">
        <v>37638</v>
      </c>
      <c r="C4" s="89">
        <f ca="1">DATEDIF(B4,TODAY(),"y")</f>
        <v>18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31.5" customHeight="1" x14ac:dyDescent="0.25">
      <c r="A5" s="90" t="s">
        <v>56</v>
      </c>
      <c r="B5" s="4">
        <v>44450</v>
      </c>
      <c r="C5" s="67">
        <f>INT((MONTH(B5)+2)/3)</f>
        <v>3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5.75" customHeight="1" x14ac:dyDescent="0.25">
      <c r="A6" s="157" t="s">
        <v>60</v>
      </c>
      <c r="B6" s="81">
        <v>0.80508101851851854</v>
      </c>
      <c r="C6" s="91">
        <f>SUM(HOUR(B6),HOUR(B7),HOUR(B8))</f>
        <v>42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x14ac:dyDescent="0.25">
      <c r="A7" s="158"/>
      <c r="B7" s="81">
        <v>0.42381944444444447</v>
      </c>
      <c r="C7" s="92">
        <f>SUM(MINUTE(B6),MINUTE(B7),MINUTE(B8))</f>
        <v>42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4.25" customHeight="1" x14ac:dyDescent="0.25">
      <c r="A8" s="158"/>
      <c r="B8" s="81">
        <v>0.55084490740740744</v>
      </c>
      <c r="C8" s="91">
        <f>SUM(SECOND(B6),SECOND(B7),SECOND(B8))</f>
        <v>50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35.25" customHeight="1" x14ac:dyDescent="0.25">
      <c r="A9" s="159"/>
      <c r="B9" s="6"/>
      <c r="C9" s="92">
        <f>SUM(HOUR(B6)*3600,MINUTE(B6)*60,SECOND(B6),HOUR(B7)*3600,MINUTE(B7)*60,SECOND(B7),HOUR(B8)*3600,MINUTE(B8)*60,SECOND(B8))</f>
        <v>153770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62.25" customHeight="1" thickBot="1" x14ac:dyDescent="0.3">
      <c r="A10" s="93" t="s">
        <v>61</v>
      </c>
      <c r="B10" s="94">
        <v>20160901</v>
      </c>
      <c r="C10" s="95">
        <f>DATE(LEFT(B10,4),MID(B10,5,2),RIGHT(B10,2))</f>
        <v>42614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x14ac:dyDescent="0.25">
      <c r="A11" s="127"/>
      <c r="B11" s="127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x14ac:dyDescent="0.25">
      <c r="A12" s="127"/>
      <c r="B12" s="127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 spans="1:25" x14ac:dyDescent="0.25">
      <c r="A13" s="127"/>
      <c r="B13" s="127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5">
      <c r="A14" s="127"/>
      <c r="B14" s="127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1:25" x14ac:dyDescent="0.25">
      <c r="A15" s="127"/>
      <c r="B15" s="127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x14ac:dyDescent="0.25">
      <c r="A16" s="127"/>
      <c r="B16" s="127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x14ac:dyDescent="0.25">
      <c r="A17" s="127"/>
      <c r="B17" s="127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x14ac:dyDescent="0.25">
      <c r="A18" s="127"/>
      <c r="B18" s="127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1:25" x14ac:dyDescent="0.25">
      <c r="A19" s="127"/>
      <c r="B19" s="127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x14ac:dyDescent="0.25">
      <c r="A20" s="127"/>
      <c r="B20" s="127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x14ac:dyDescent="0.25">
      <c r="A21" s="127"/>
      <c r="B21" s="127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x14ac:dyDescent="0.25">
      <c r="A22" s="127"/>
      <c r="B22" s="127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x14ac:dyDescent="0.25">
      <c r="A23" s="127"/>
      <c r="B23" s="12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x14ac:dyDescent="0.25">
      <c r="A24" s="127"/>
      <c r="B24" s="12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spans="1:25" x14ac:dyDescent="0.25">
      <c r="A25" s="127"/>
      <c r="B25" s="12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x14ac:dyDescent="0.25">
      <c r="A26" s="127"/>
      <c r="B26" s="127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x14ac:dyDescent="0.25">
      <c r="A27" s="127"/>
      <c r="B27" s="12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x14ac:dyDescent="0.25">
      <c r="A28" s="127"/>
      <c r="B28" s="12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x14ac:dyDescent="0.25">
      <c r="A29" s="127"/>
      <c r="B29" s="12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x14ac:dyDescent="0.25">
      <c r="A30" s="127"/>
      <c r="B30" s="12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spans="1:25" x14ac:dyDescent="0.25">
      <c r="A31" s="127"/>
      <c r="B31" s="12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x14ac:dyDescent="0.25">
      <c r="A32" s="127"/>
      <c r="B32" s="12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25" x14ac:dyDescent="0.25">
      <c r="A33" s="127"/>
      <c r="B33" s="12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5" x14ac:dyDescent="0.25">
      <c r="A34" s="127"/>
      <c r="B34" s="12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5" x14ac:dyDescent="0.25">
      <c r="A35" s="127"/>
      <c r="B35" s="12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25" x14ac:dyDescent="0.25">
      <c r="A36" s="127"/>
      <c r="B36" s="12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x14ac:dyDescent="0.25">
      <c r="A37" s="127"/>
      <c r="B37" s="12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25" x14ac:dyDescent="0.25">
      <c r="A38" s="127"/>
      <c r="B38" s="12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x14ac:dyDescent="0.25">
      <c r="A39" s="127"/>
      <c r="B39" s="12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25" x14ac:dyDescent="0.25">
      <c r="A40" s="127"/>
      <c r="B40" s="12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25" x14ac:dyDescent="0.25">
      <c r="A41" s="127"/>
      <c r="B41" s="12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25" x14ac:dyDescent="0.25">
      <c r="A42" s="127"/>
      <c r="B42" s="12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 x14ac:dyDescent="0.25">
      <c r="A43" s="127"/>
      <c r="B43" s="127"/>
      <c r="C43" s="44"/>
    </row>
    <row r="44" spans="1:25" x14ac:dyDescent="0.25">
      <c r="A44" s="127"/>
      <c r="B44" s="127"/>
      <c r="C44" s="44"/>
    </row>
  </sheetData>
  <mergeCells count="1">
    <mergeCell ref="A6:A9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abSelected="1" workbookViewId="0">
      <selection activeCell="D4" sqref="D4"/>
    </sheetView>
  </sheetViews>
  <sheetFormatPr defaultRowHeight="15" x14ac:dyDescent="0.25"/>
  <cols>
    <col min="1" max="1" width="57.5703125" customWidth="1"/>
    <col min="2" max="2" width="19.85546875" customWidth="1"/>
    <col min="4" max="4" width="10.28515625" bestFit="1" customWidth="1"/>
  </cols>
  <sheetData>
    <row r="1" spans="1:41" x14ac:dyDescent="0.25">
      <c r="A1" s="96" t="s">
        <v>14</v>
      </c>
      <c r="B1" s="97" t="s">
        <v>12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</row>
    <row r="2" spans="1:41" ht="47.25" x14ac:dyDescent="0.25">
      <c r="A2" s="98" t="s">
        <v>35</v>
      </c>
      <c r="B2" s="99">
        <f>PMT(28%/12,72,1500)</f>
        <v>-43.210196389067747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</row>
    <row r="3" spans="1:41" ht="63" x14ac:dyDescent="0.25">
      <c r="A3" s="100" t="s">
        <v>34</v>
      </c>
      <c r="B3" s="67">
        <f>INT((NPER(39%/12,-42.5,1000)))</f>
        <v>45</v>
      </c>
      <c r="C3" s="44"/>
      <c r="D3" s="1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1:41" ht="47.25" x14ac:dyDescent="0.25">
      <c r="A4" s="101" t="s">
        <v>33</v>
      </c>
      <c r="B4" s="99">
        <f>SLN(1500,700,4)</f>
        <v>200</v>
      </c>
      <c r="C4" s="44"/>
      <c r="D4" s="12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</row>
    <row r="5" spans="1:41" ht="47.25" x14ac:dyDescent="0.25">
      <c r="A5" s="100" t="s">
        <v>32</v>
      </c>
      <c r="B5" s="99">
        <f>PMT(20%,15,4000)</f>
        <v>-855.52847935004013</v>
      </c>
      <c r="C5" s="126"/>
      <c r="D5" s="127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</row>
    <row r="6" spans="1:41" ht="79.5" thickBot="1" x14ac:dyDescent="0.3">
      <c r="A6" s="102" t="s">
        <v>31</v>
      </c>
      <c r="B6" s="169">
        <f>FV(15%,5,-5000000)</f>
        <v>33711906.249999978</v>
      </c>
      <c r="C6" s="44"/>
      <c r="D6" s="128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</row>
    <row r="7" spans="1:41" ht="63.75" thickBot="1" x14ac:dyDescent="0.3">
      <c r="A7" s="168" t="s">
        <v>114</v>
      </c>
      <c r="B7" s="170">
        <f>PV(10%,4,1000,,1)</f>
        <v>-3486.8519909842248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</row>
    <row r="8" spans="1:4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</row>
    <row r="9" spans="1:41" x14ac:dyDescent="0.25">
      <c r="A9" s="129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</row>
    <row r="10" spans="1:41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</row>
    <row r="12" spans="1:4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</row>
    <row r="13" spans="1:41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</row>
    <row r="14" spans="1:41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</row>
    <row r="15" spans="1:4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</row>
    <row r="16" spans="1:4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</row>
    <row r="17" spans="1:4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</row>
    <row r="18" spans="1:4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</row>
    <row r="19" spans="1:4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</row>
    <row r="20" spans="1:4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</row>
    <row r="21" spans="1:4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</row>
    <row r="22" spans="1:4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</row>
    <row r="23" spans="1:4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</row>
    <row r="24" spans="1:4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</row>
    <row r="26" spans="1:4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</row>
    <row r="27" spans="1:4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</row>
    <row r="28" spans="1:4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</row>
    <row r="29" spans="1:4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</row>
    <row r="30" spans="1:4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</row>
    <row r="31" spans="1:4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</row>
    <row r="32" spans="1:4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</row>
    <row r="33" spans="1:4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</row>
    <row r="34" spans="1:4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</row>
    <row r="35" spans="1:4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</row>
    <row r="36" spans="1:4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</row>
    <row r="37" spans="1:4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</row>
    <row r="38" spans="1:4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</row>
    <row r="39" spans="1:4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</row>
    <row r="40" spans="1:4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</row>
    <row r="41" spans="1:4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</row>
    <row r="42" spans="1:4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</row>
    <row r="43" spans="1:4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</row>
    <row r="44" spans="1:4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</row>
    <row r="45" spans="1:4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</row>
    <row r="46" spans="1:4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</row>
    <row r="47" spans="1:4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</row>
    <row r="48" spans="1:4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</row>
    <row r="49" spans="1:4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</row>
    <row r="50" spans="1:4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</row>
    <row r="51" spans="1:4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</row>
    <row r="52" spans="1:4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</row>
    <row r="53" spans="1:4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</row>
    <row r="54" spans="1:4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</row>
    <row r="55" spans="1:4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</row>
    <row r="56" spans="1:4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</row>
    <row r="57" spans="1:4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</row>
    <row r="58" spans="1:4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</row>
    <row r="59" spans="1:4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</row>
    <row r="60" spans="1:4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</row>
    <row r="61" spans="1:4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</row>
    <row r="62" spans="1:4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</row>
    <row r="63" spans="1:4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</row>
    <row r="64" spans="1:4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</row>
    <row r="65" spans="1:4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</row>
    <row r="66" spans="1:4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</row>
    <row r="67" spans="1:4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</row>
    <row r="68" spans="1:4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</row>
    <row r="69" spans="1:4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</row>
    <row r="70" spans="1:4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</row>
    <row r="71" spans="1:41" x14ac:dyDescent="0.25"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workbookViewId="0">
      <selection activeCell="H24" sqref="H24"/>
    </sheetView>
  </sheetViews>
  <sheetFormatPr defaultRowHeight="15" x14ac:dyDescent="0.25"/>
  <cols>
    <col min="2" max="2" width="17.5703125" customWidth="1"/>
    <col min="3" max="3" width="18" customWidth="1"/>
    <col min="4" max="4" width="11.5703125" bestFit="1" customWidth="1"/>
    <col min="6" max="6" width="11.5703125" bestFit="1" customWidth="1"/>
    <col min="7" max="7" width="10.5703125" bestFit="1" customWidth="1"/>
    <col min="8" max="8" width="9.5703125" bestFit="1" customWidth="1"/>
    <col min="9" max="10" width="11.5703125" bestFit="1" customWidth="1"/>
    <col min="11" max="12" width="9.5703125" bestFit="1" customWidth="1"/>
    <col min="13" max="14" width="11.5703125" bestFit="1" customWidth="1"/>
    <col min="16" max="16" width="16.42578125" customWidth="1"/>
  </cols>
  <sheetData>
    <row r="1" spans="1:36" x14ac:dyDescent="0.25">
      <c r="A1" s="163" t="s">
        <v>55</v>
      </c>
      <c r="B1" s="160" t="s">
        <v>54</v>
      </c>
      <c r="C1" s="160" t="s">
        <v>53</v>
      </c>
      <c r="D1" s="160" t="s">
        <v>52</v>
      </c>
      <c r="E1" s="166" t="s">
        <v>51</v>
      </c>
      <c r="F1" s="160" t="s">
        <v>50</v>
      </c>
      <c r="G1" s="160"/>
      <c r="H1" s="160"/>
      <c r="I1" s="160"/>
      <c r="J1" s="160" t="s">
        <v>49</v>
      </c>
      <c r="K1" s="160"/>
      <c r="L1" s="160"/>
      <c r="M1" s="160"/>
      <c r="N1" s="161" t="s">
        <v>48</v>
      </c>
      <c r="O1" s="121"/>
      <c r="P1" s="56"/>
    </row>
    <row r="2" spans="1:36" ht="62.25" customHeight="1" thickBot="1" x14ac:dyDescent="0.3">
      <c r="A2" s="164"/>
      <c r="B2" s="165"/>
      <c r="C2" s="165"/>
      <c r="D2" s="165"/>
      <c r="E2" s="167"/>
      <c r="F2" s="103" t="s">
        <v>47</v>
      </c>
      <c r="G2" s="104" t="s">
        <v>46</v>
      </c>
      <c r="H2" s="103" t="s">
        <v>45</v>
      </c>
      <c r="I2" s="104" t="s">
        <v>41</v>
      </c>
      <c r="J2" s="103" t="s">
        <v>44</v>
      </c>
      <c r="K2" s="103" t="s">
        <v>43</v>
      </c>
      <c r="L2" s="103" t="s">
        <v>42</v>
      </c>
      <c r="M2" s="103" t="s">
        <v>41</v>
      </c>
      <c r="N2" s="162"/>
      <c r="O2" s="117"/>
      <c r="P2" s="118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6" ht="17.25" customHeight="1" x14ac:dyDescent="0.25">
      <c r="A3" s="107">
        <v>1</v>
      </c>
      <c r="B3" s="9" t="s">
        <v>96</v>
      </c>
      <c r="C3" s="13" t="s">
        <v>40</v>
      </c>
      <c r="D3" s="105">
        <v>290000</v>
      </c>
      <c r="E3" s="2">
        <v>23</v>
      </c>
      <c r="F3" s="105">
        <f>Оклад*(Отр_дни/Рабочие_дни)</f>
        <v>290000</v>
      </c>
      <c r="G3" s="105">
        <f t="shared" ref="G3:G12" si="0">IF(Отр_дни=Рабочие_дни,F3*10%,0)</f>
        <v>29000</v>
      </c>
      <c r="H3" s="105">
        <f t="shared" ref="H3:H12" si="1">IF(AND(Рабочие_дни=Отр_дни,За_отработанные_дни&lt;Средний_оклад),5000,0)</f>
        <v>0</v>
      </c>
      <c r="I3" s="105">
        <f t="shared" ref="I3:I12" si="2">За_отработанные_дни+Премия+Другие_начисления</f>
        <v>319000</v>
      </c>
      <c r="J3" s="105">
        <f t="shared" ref="J3:J12" si="3">IF(Всего_начислено&lt;52800,Всего_начислено*9%,IF(AND(Всего_начислено&gt;52800,Всего_начислено&lt;132000),4752+(Всего_начислено*12%),IF(AND(Всего_начислено&gt;132000,Всего_начислено&lt;184800),16632+(Всего_начислено*13%),IF(AND(Всего_начислено&gt;184800,Всего_начислено&lt;237600),27192+(Всего_начислено*15%),40392+(Всего_начислено*20%)))))</f>
        <v>104192</v>
      </c>
      <c r="K3" s="105">
        <f t="shared" ref="K3:L12" si="4">Всего_начислено*1%</f>
        <v>3190</v>
      </c>
      <c r="L3" s="105">
        <f t="shared" si="4"/>
        <v>3190</v>
      </c>
      <c r="M3" s="105">
        <f t="shared" ref="M3:M12" si="5">Подоходный_налог+Профсоюзный_фонд+Пенсионный_фонд</f>
        <v>110572</v>
      </c>
      <c r="N3" s="110">
        <f t="shared" ref="N3:N12" si="6">Всего_начислено-Всего_удержано</f>
        <v>208428</v>
      </c>
      <c r="O3" s="117"/>
      <c r="P3" s="108" t="s">
        <v>36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6" ht="15.75" thickBot="1" x14ac:dyDescent="0.3">
      <c r="A4" s="107">
        <v>2</v>
      </c>
      <c r="B4" s="9" t="s">
        <v>97</v>
      </c>
      <c r="C4" s="13" t="s">
        <v>106</v>
      </c>
      <c r="D4" s="105">
        <v>150000</v>
      </c>
      <c r="E4" s="2">
        <v>10</v>
      </c>
      <c r="F4" s="105">
        <f t="shared" ref="F4:F12" si="7">Оклад*(Отр_дни/Рабочие_дни)</f>
        <v>65217.391304347824</v>
      </c>
      <c r="G4" s="105">
        <f t="shared" si="0"/>
        <v>0</v>
      </c>
      <c r="H4" s="105">
        <f t="shared" si="1"/>
        <v>0</v>
      </c>
      <c r="I4" s="105">
        <f t="shared" si="2"/>
        <v>65217.391304347824</v>
      </c>
      <c r="J4" s="105">
        <f t="shared" si="3"/>
        <v>12578.08695652174</v>
      </c>
      <c r="K4" s="105">
        <f t="shared" si="4"/>
        <v>652.17391304347825</v>
      </c>
      <c r="L4" s="105">
        <f t="shared" si="4"/>
        <v>652.17391304347825</v>
      </c>
      <c r="M4" s="105">
        <f t="shared" si="5"/>
        <v>13882.434782608696</v>
      </c>
      <c r="N4" s="110">
        <f t="shared" si="6"/>
        <v>51334.956521739128</v>
      </c>
      <c r="O4" s="117"/>
      <c r="P4" s="109">
        <f>AVERAGE(F3:F12)</f>
        <v>122269.56521739133</v>
      </c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</row>
    <row r="5" spans="1:36" x14ac:dyDescent="0.25">
      <c r="A5" s="107">
        <v>3</v>
      </c>
      <c r="B5" s="9" t="s">
        <v>98</v>
      </c>
      <c r="C5" s="13" t="s">
        <v>107</v>
      </c>
      <c r="D5" s="105">
        <v>230000</v>
      </c>
      <c r="E5" s="2">
        <v>19</v>
      </c>
      <c r="F5" s="105">
        <f t="shared" si="7"/>
        <v>190000</v>
      </c>
      <c r="G5" s="105">
        <f t="shared" si="0"/>
        <v>0</v>
      </c>
      <c r="H5" s="105">
        <f t="shared" si="1"/>
        <v>0</v>
      </c>
      <c r="I5" s="105">
        <f t="shared" si="2"/>
        <v>190000</v>
      </c>
      <c r="J5" s="105">
        <f t="shared" si="3"/>
        <v>55692</v>
      </c>
      <c r="K5" s="105">
        <f t="shared" si="4"/>
        <v>1900</v>
      </c>
      <c r="L5" s="105">
        <f t="shared" si="4"/>
        <v>1900</v>
      </c>
      <c r="M5" s="105">
        <f t="shared" si="5"/>
        <v>59492</v>
      </c>
      <c r="N5" s="110">
        <f t="shared" si="6"/>
        <v>130508</v>
      </c>
      <c r="O5" s="117"/>
      <c r="P5" s="118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</row>
    <row r="6" spans="1:36" x14ac:dyDescent="0.25">
      <c r="A6" s="107">
        <v>4</v>
      </c>
      <c r="B6" s="9" t="s">
        <v>99</v>
      </c>
      <c r="C6" s="13" t="s">
        <v>108</v>
      </c>
      <c r="D6" s="105">
        <v>250000</v>
      </c>
      <c r="E6" s="2">
        <v>5</v>
      </c>
      <c r="F6" s="105">
        <f t="shared" si="7"/>
        <v>54347.82608695652</v>
      </c>
      <c r="G6" s="105">
        <f>IF(Отр_дни=Рабочие_дни,F6*10%,0)</f>
        <v>0</v>
      </c>
      <c r="H6" s="105">
        <f t="shared" si="1"/>
        <v>0</v>
      </c>
      <c r="I6" s="105">
        <f t="shared" si="2"/>
        <v>54347.82608695652</v>
      </c>
      <c r="J6" s="105">
        <f t="shared" si="3"/>
        <v>11273.739130434782</v>
      </c>
      <c r="K6" s="105">
        <f t="shared" si="4"/>
        <v>543.47826086956525</v>
      </c>
      <c r="L6" s="105">
        <f t="shared" si="4"/>
        <v>543.47826086956525</v>
      </c>
      <c r="M6" s="105">
        <f t="shared" si="5"/>
        <v>12360.695652173914</v>
      </c>
      <c r="N6" s="110">
        <f t="shared" si="6"/>
        <v>41987.130434782608</v>
      </c>
      <c r="O6" s="117"/>
      <c r="P6" s="118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6" x14ac:dyDescent="0.25">
      <c r="A7" s="107">
        <v>5</v>
      </c>
      <c r="B7" s="9" t="s">
        <v>100</v>
      </c>
      <c r="C7" s="13" t="s">
        <v>39</v>
      </c>
      <c r="D7" s="105">
        <v>260000</v>
      </c>
      <c r="E7" s="2">
        <v>17</v>
      </c>
      <c r="F7" s="105">
        <f t="shared" si="7"/>
        <v>192173.91304347824</v>
      </c>
      <c r="G7" s="105">
        <f t="shared" si="0"/>
        <v>0</v>
      </c>
      <c r="H7" s="105">
        <f t="shared" si="1"/>
        <v>0</v>
      </c>
      <c r="I7" s="105">
        <f t="shared" si="2"/>
        <v>192173.91304347824</v>
      </c>
      <c r="J7" s="105">
        <f t="shared" si="3"/>
        <v>56018.086956521736</v>
      </c>
      <c r="K7" s="105">
        <f t="shared" si="4"/>
        <v>1921.7391304347825</v>
      </c>
      <c r="L7" s="105">
        <f t="shared" si="4"/>
        <v>1921.7391304347825</v>
      </c>
      <c r="M7" s="105">
        <f t="shared" si="5"/>
        <v>59861.565217391304</v>
      </c>
      <c r="N7" s="110">
        <f t="shared" si="6"/>
        <v>132312.34782608695</v>
      </c>
      <c r="O7" s="117"/>
      <c r="P7" s="118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</row>
    <row r="8" spans="1:36" x14ac:dyDescent="0.25">
      <c r="A8" s="107">
        <v>6</v>
      </c>
      <c r="B8" s="9" t="s">
        <v>101</v>
      </c>
      <c r="C8" s="13" t="s">
        <v>109</v>
      </c>
      <c r="D8" s="105">
        <v>100000</v>
      </c>
      <c r="E8" s="2">
        <v>13</v>
      </c>
      <c r="F8" s="105">
        <f t="shared" si="7"/>
        <v>56521.739130434777</v>
      </c>
      <c r="G8" s="105">
        <f t="shared" si="0"/>
        <v>0</v>
      </c>
      <c r="H8" s="105">
        <f t="shared" si="1"/>
        <v>0</v>
      </c>
      <c r="I8" s="105">
        <f t="shared" si="2"/>
        <v>56521.739130434777</v>
      </c>
      <c r="J8" s="105">
        <f t="shared" si="3"/>
        <v>11534.608695652172</v>
      </c>
      <c r="K8" s="105">
        <f t="shared" si="4"/>
        <v>565.21739130434776</v>
      </c>
      <c r="L8" s="105">
        <f t="shared" si="4"/>
        <v>565.21739130434776</v>
      </c>
      <c r="M8" s="105">
        <f t="shared" si="5"/>
        <v>12665.043478260868</v>
      </c>
      <c r="N8" s="110">
        <f t="shared" si="6"/>
        <v>43856.695652173905</v>
      </c>
      <c r="O8" s="117"/>
      <c r="P8" s="118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</row>
    <row r="9" spans="1:36" x14ac:dyDescent="0.25">
      <c r="A9" s="107">
        <v>7</v>
      </c>
      <c r="B9" s="9" t="s">
        <v>102</v>
      </c>
      <c r="C9" s="13" t="s">
        <v>110</v>
      </c>
      <c r="D9" s="106">
        <v>53000</v>
      </c>
      <c r="E9" s="2">
        <v>23</v>
      </c>
      <c r="F9" s="105">
        <f t="shared" si="7"/>
        <v>53000</v>
      </c>
      <c r="G9" s="105">
        <f t="shared" si="0"/>
        <v>5300</v>
      </c>
      <c r="H9" s="105">
        <f t="shared" si="1"/>
        <v>5000</v>
      </c>
      <c r="I9" s="105">
        <f t="shared" si="2"/>
        <v>63300</v>
      </c>
      <c r="J9" s="105">
        <f t="shared" si="3"/>
        <v>12348</v>
      </c>
      <c r="K9" s="105">
        <f t="shared" si="4"/>
        <v>633</v>
      </c>
      <c r="L9" s="105">
        <f t="shared" si="4"/>
        <v>633</v>
      </c>
      <c r="M9" s="105">
        <f t="shared" si="5"/>
        <v>13614</v>
      </c>
      <c r="N9" s="110">
        <f t="shared" si="6"/>
        <v>49686</v>
      </c>
      <c r="O9" s="117"/>
      <c r="P9" s="118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</row>
    <row r="10" spans="1:36" ht="30" x14ac:dyDescent="0.25">
      <c r="A10" s="107">
        <v>8</v>
      </c>
      <c r="B10" s="9" t="s">
        <v>103</v>
      </c>
      <c r="C10" s="13" t="s">
        <v>111</v>
      </c>
      <c r="D10" s="105">
        <v>89000</v>
      </c>
      <c r="E10" s="2">
        <v>23</v>
      </c>
      <c r="F10" s="105">
        <f t="shared" si="7"/>
        <v>89000</v>
      </c>
      <c r="G10" s="105">
        <f t="shared" si="0"/>
        <v>8900</v>
      </c>
      <c r="H10" s="105">
        <f t="shared" si="1"/>
        <v>5000</v>
      </c>
      <c r="I10" s="105">
        <f t="shared" si="2"/>
        <v>102900</v>
      </c>
      <c r="J10" s="105">
        <f t="shared" si="3"/>
        <v>17100</v>
      </c>
      <c r="K10" s="105">
        <f t="shared" si="4"/>
        <v>1029</v>
      </c>
      <c r="L10" s="105">
        <f t="shared" si="4"/>
        <v>1029</v>
      </c>
      <c r="M10" s="105">
        <f t="shared" si="5"/>
        <v>19158</v>
      </c>
      <c r="N10" s="110">
        <f t="shared" si="6"/>
        <v>83742</v>
      </c>
      <c r="O10" s="117"/>
      <c r="P10" s="118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</row>
    <row r="11" spans="1:36" x14ac:dyDescent="0.25">
      <c r="A11" s="107">
        <v>9</v>
      </c>
      <c r="B11" s="9" t="s">
        <v>104</v>
      </c>
      <c r="C11" s="13" t="s">
        <v>38</v>
      </c>
      <c r="D11" s="105">
        <v>126000</v>
      </c>
      <c r="E11" s="2">
        <v>21</v>
      </c>
      <c r="F11" s="105">
        <f t="shared" si="7"/>
        <v>115043.47826086955</v>
      </c>
      <c r="G11" s="105">
        <f t="shared" si="0"/>
        <v>0</v>
      </c>
      <c r="H11" s="105">
        <f t="shared" si="1"/>
        <v>0</v>
      </c>
      <c r="I11" s="105">
        <f t="shared" si="2"/>
        <v>115043.47826086955</v>
      </c>
      <c r="J11" s="105">
        <f t="shared" si="3"/>
        <v>18557.217391304344</v>
      </c>
      <c r="K11" s="105">
        <f t="shared" si="4"/>
        <v>1150.4347826086955</v>
      </c>
      <c r="L11" s="105">
        <f t="shared" si="4"/>
        <v>1150.4347826086955</v>
      </c>
      <c r="M11" s="105">
        <f t="shared" si="5"/>
        <v>20858.086956521736</v>
      </c>
      <c r="N11" s="110">
        <f t="shared" si="6"/>
        <v>94185.39130434781</v>
      </c>
      <c r="O11" s="117"/>
      <c r="P11" s="118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 spans="1:36" ht="15.75" thickBot="1" x14ac:dyDescent="0.3">
      <c r="A12" s="111">
        <v>10</v>
      </c>
      <c r="B12" s="112" t="s">
        <v>105</v>
      </c>
      <c r="C12" s="113" t="s">
        <v>112</v>
      </c>
      <c r="D12" s="114">
        <v>135000</v>
      </c>
      <c r="E12" s="115">
        <v>20</v>
      </c>
      <c r="F12" s="114">
        <f t="shared" si="7"/>
        <v>117391.30434782608</v>
      </c>
      <c r="G12" s="114">
        <f t="shared" si="0"/>
        <v>0</v>
      </c>
      <c r="H12" s="114">
        <f t="shared" si="1"/>
        <v>0</v>
      </c>
      <c r="I12" s="114">
        <f t="shared" si="2"/>
        <v>117391.30434782608</v>
      </c>
      <c r="J12" s="114">
        <f t="shared" si="3"/>
        <v>18838.956521739128</v>
      </c>
      <c r="K12" s="114">
        <f t="shared" si="4"/>
        <v>1173.9130434782608</v>
      </c>
      <c r="L12" s="114">
        <f t="shared" si="4"/>
        <v>1173.9130434782608</v>
      </c>
      <c r="M12" s="114">
        <f t="shared" si="5"/>
        <v>21186.782608695648</v>
      </c>
      <c r="N12" s="116">
        <f t="shared" si="6"/>
        <v>96204.521739130432</v>
      </c>
      <c r="O12" s="117"/>
      <c r="P12" s="118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 spans="1:36" ht="15.75" thickBot="1" x14ac:dyDescent="0.3">
      <c r="A13" s="122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8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6" ht="15.75" thickBot="1" x14ac:dyDescent="0.3">
      <c r="A14" s="122"/>
      <c r="B14" s="36" t="s">
        <v>37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8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</row>
    <row r="15" spans="1:36" ht="15.75" thickBot="1" x14ac:dyDescent="0.3">
      <c r="A15" s="123"/>
      <c r="B15" s="35">
        <f>NETWORKDAYS(DATE(2021,9,1),DATE(2021,9,31))</f>
        <v>23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20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</row>
    <row r="16" spans="1:3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</row>
    <row r="17" spans="1:3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</row>
    <row r="18" spans="1:36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</row>
    <row r="19" spans="1:36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</row>
    <row r="20" spans="1:36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</row>
    <row r="21" spans="1:36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</row>
    <row r="22" spans="1:36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</row>
    <row r="23" spans="1:36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</row>
    <row r="24" spans="1:36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spans="1:36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</row>
    <row r="26" spans="1:36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</row>
    <row r="27" spans="1:36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</row>
    <row r="28" spans="1:36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</row>
    <row r="29" spans="1:36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</row>
    <row r="30" spans="1:36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</row>
    <row r="31" spans="1:36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</row>
    <row r="32" spans="1:36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pans="1:36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</row>
    <row r="34" spans="1:36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</row>
    <row r="35" spans="1:36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</row>
    <row r="36" spans="1:36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</row>
    <row r="37" spans="1:36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spans="1:36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 spans="1:36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</row>
    <row r="41" spans="1:36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</row>
    <row r="42" spans="1:36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</row>
    <row r="43" spans="1:36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</row>
    <row r="44" spans="1:36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</row>
    <row r="45" spans="1:36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</row>
    <row r="46" spans="1:36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</row>
    <row r="47" spans="1:36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</row>
    <row r="48" spans="1:36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 spans="1:36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</row>
    <row r="50" spans="1:36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 spans="1:36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 spans="1:36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 spans="1:36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</row>
    <row r="54" spans="1:36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</row>
    <row r="55" spans="1:36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</row>
    <row r="56" spans="1:36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 spans="1:36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</row>
    <row r="58" spans="1:36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</row>
    <row r="59" spans="1:36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</row>
    <row r="60" spans="1:36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</row>
    <row r="61" spans="1:36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</row>
    <row r="62" spans="1:36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</row>
    <row r="63" spans="1:36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</row>
    <row r="64" spans="1:36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</row>
    <row r="65" spans="1:36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</row>
    <row r="66" spans="1:36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</row>
  </sheetData>
  <mergeCells count="8">
    <mergeCell ref="J1:M1"/>
    <mergeCell ref="N1:N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12</vt:i4>
      </vt:variant>
    </vt:vector>
  </HeadingPairs>
  <TitlesOfParts>
    <vt:vector size="19" baseType="lpstr">
      <vt:lpstr>Мат_функции</vt:lpstr>
      <vt:lpstr>Стат_функции</vt:lpstr>
      <vt:lpstr>Логич_функции</vt:lpstr>
      <vt:lpstr>Текст_функции</vt:lpstr>
      <vt:lpstr>Дата_время</vt:lpstr>
      <vt:lpstr>Фин_функции</vt:lpstr>
      <vt:lpstr>Ведомость_зарплаты</vt:lpstr>
      <vt:lpstr>Всего_начислено</vt:lpstr>
      <vt:lpstr>Всего_удержано</vt:lpstr>
      <vt:lpstr>Другие_начисления</vt:lpstr>
      <vt:lpstr>За_отработанные_дни</vt:lpstr>
      <vt:lpstr>Оклад</vt:lpstr>
      <vt:lpstr>Отр_дни</vt:lpstr>
      <vt:lpstr>Пенсионный_фонд</vt:lpstr>
      <vt:lpstr>Подоходный_налог</vt:lpstr>
      <vt:lpstr>Премия</vt:lpstr>
      <vt:lpstr>Профсоюзный_фонд</vt:lpstr>
      <vt:lpstr>Рабочие_дни</vt:lpstr>
      <vt:lpstr>Средний_оклад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</dc:creator>
  <cp:lastModifiedBy>King</cp:lastModifiedBy>
  <dcterms:created xsi:type="dcterms:W3CDTF">2020-10-18T13:59:20Z</dcterms:created>
  <dcterms:modified xsi:type="dcterms:W3CDTF">2021-09-11T08:16:09Z</dcterms:modified>
</cp:coreProperties>
</file>