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88018\Desktop\"/>
    </mc:Choice>
  </mc:AlternateContent>
  <bookViews>
    <workbookView xWindow="0" yWindow="0" windowWidth="21570" windowHeight="8055" activeTab="1"/>
  </bookViews>
  <sheets>
    <sheet name="Град 15-18.04.20" sheetId="36" r:id="rId1"/>
    <sheet name="Протокол" sheetId="45" r:id="rId2"/>
  </sheets>
  <externalReferences>
    <externalReference r:id="rId3"/>
    <externalReference r:id="rId4"/>
  </externalReferences>
  <definedNames>
    <definedName name="_xlnm.Print_Area" localSheetId="1">Протокол!$B$5:$AB$74</definedName>
    <definedName name="чис_1">[1]CONCRETE!$V$83</definedName>
  </definedNames>
  <calcPr calcId="162913"/>
</workbook>
</file>

<file path=xl/calcChain.xml><?xml version="1.0" encoding="utf-8"?>
<calcChain xmlns="http://schemas.openxmlformats.org/spreadsheetml/2006/main">
  <c r="N13" i="45" l="1"/>
  <c r="AD69" i="45"/>
  <c r="AD39" i="45"/>
  <c r="E38" i="45"/>
  <c r="F38" i="45"/>
  <c r="D38" i="45"/>
  <c r="AR12" i="45"/>
  <c r="H21" i="45"/>
  <c r="J139" i="45"/>
  <c r="K139" i="45"/>
  <c r="L139" i="45"/>
  <c r="M139" i="45"/>
  <c r="N139" i="45"/>
  <c r="O139" i="45"/>
  <c r="P139" i="45"/>
  <c r="Q139" i="45"/>
  <c r="R139" i="45"/>
  <c r="S139" i="45"/>
  <c r="T139" i="45"/>
  <c r="U139" i="45"/>
  <c r="V139" i="45"/>
  <c r="W139" i="45"/>
  <c r="X139" i="45"/>
  <c r="Y139" i="45"/>
  <c r="Z139" i="45"/>
  <c r="AA139" i="45"/>
  <c r="AB139" i="45"/>
  <c r="J136" i="45"/>
  <c r="K136" i="45"/>
  <c r="L136" i="45"/>
  <c r="M136" i="45"/>
  <c r="N136" i="45"/>
  <c r="O136" i="45"/>
  <c r="P136" i="45"/>
  <c r="Q136" i="45"/>
  <c r="R136" i="45"/>
  <c r="S136" i="45"/>
  <c r="T136" i="45"/>
  <c r="U136" i="45"/>
  <c r="V136" i="45"/>
  <c r="W136" i="45"/>
  <c r="X136" i="45"/>
  <c r="Y136" i="45"/>
  <c r="Z136" i="45"/>
  <c r="AA136" i="45"/>
  <c r="AB136" i="45"/>
  <c r="AT94" i="45"/>
  <c r="AS94" i="45"/>
  <c r="AR94" i="45"/>
  <c r="AQ94" i="45"/>
  <c r="AP94" i="45"/>
  <c r="AO94" i="45"/>
  <c r="AN94" i="45"/>
  <c r="AM94" i="45"/>
  <c r="AL94" i="45"/>
  <c r="AK94" i="45"/>
  <c r="AJ94" i="45"/>
  <c r="AI94" i="45"/>
  <c r="AH94" i="45"/>
  <c r="AG94" i="45"/>
  <c r="AF94" i="45"/>
  <c r="AE94" i="45"/>
  <c r="AD94" i="45"/>
  <c r="AC94" i="45"/>
  <c r="AB94" i="45"/>
  <c r="AA94" i="45"/>
  <c r="AB93" i="45"/>
  <c r="AC93" i="45"/>
  <c r="AD93" i="45"/>
  <c r="AE93" i="45"/>
  <c r="AF93" i="45"/>
  <c r="AG93" i="45"/>
  <c r="AH93" i="45"/>
  <c r="AI93" i="45"/>
  <c r="AJ93" i="45"/>
  <c r="AK93" i="45"/>
  <c r="AL93" i="45"/>
  <c r="AM93" i="45"/>
  <c r="AN93" i="45"/>
  <c r="AO93" i="45"/>
  <c r="AP93" i="45"/>
  <c r="AQ93" i="45"/>
  <c r="AR93" i="45"/>
  <c r="AS93" i="45"/>
  <c r="AT93" i="45"/>
  <c r="AT91" i="45"/>
  <c r="AS91" i="45"/>
  <c r="AR91" i="45"/>
  <c r="AQ91" i="45"/>
  <c r="AP91" i="45"/>
  <c r="AO91" i="45"/>
  <c r="AN91" i="45"/>
  <c r="AM91" i="45"/>
  <c r="AL91" i="45"/>
  <c r="AK91" i="45"/>
  <c r="AJ91" i="45"/>
  <c r="AI91" i="45"/>
  <c r="AH91" i="45"/>
  <c r="AG91" i="45"/>
  <c r="AF91" i="45"/>
  <c r="AE91" i="45"/>
  <c r="AD91" i="45"/>
  <c r="AC91" i="45"/>
  <c r="AB91" i="45"/>
  <c r="AA91" i="45"/>
  <c r="AB90" i="45"/>
  <c r="AC90" i="45"/>
  <c r="AD90" i="45"/>
  <c r="AE90" i="45"/>
  <c r="AF90" i="45"/>
  <c r="AG90" i="45"/>
  <c r="AH90" i="45"/>
  <c r="AI90" i="45"/>
  <c r="AJ90" i="45"/>
  <c r="AK90" i="45"/>
  <c r="AL90" i="45"/>
  <c r="AM90" i="45"/>
  <c r="AN90" i="45"/>
  <c r="AO90" i="45"/>
  <c r="AP90" i="45"/>
  <c r="AQ90" i="45"/>
  <c r="AR90" i="45"/>
  <c r="AS90" i="45"/>
  <c r="AT90" i="45"/>
  <c r="T90" i="45"/>
  <c r="T91" i="45"/>
  <c r="T62" i="45"/>
  <c r="AT88" i="45"/>
  <c r="AS88" i="45"/>
  <c r="AR88" i="45"/>
  <c r="AQ88" i="45"/>
  <c r="AP88" i="45"/>
  <c r="AO88" i="45"/>
  <c r="AN88" i="45"/>
  <c r="AM88" i="45"/>
  <c r="AL88" i="45"/>
  <c r="AK88" i="45"/>
  <c r="AJ88" i="45"/>
  <c r="AI88" i="45"/>
  <c r="AH88" i="45"/>
  <c r="AG88" i="45"/>
  <c r="AF88" i="45"/>
  <c r="AE88" i="45"/>
  <c r="AD88" i="45"/>
  <c r="AC88" i="45"/>
  <c r="AB88" i="45"/>
  <c r="AA88" i="45"/>
  <c r="AB87" i="45"/>
  <c r="AC87" i="45"/>
  <c r="AD87" i="45"/>
  <c r="AE87" i="45"/>
  <c r="AF87" i="45"/>
  <c r="AG87" i="45"/>
  <c r="AH87" i="45"/>
  <c r="AI87" i="45"/>
  <c r="AJ87" i="45"/>
  <c r="AK87" i="45"/>
  <c r="AL87" i="45"/>
  <c r="AM87" i="45"/>
  <c r="AN87" i="45"/>
  <c r="AO87" i="45"/>
  <c r="AP87" i="45"/>
  <c r="AQ87" i="45"/>
  <c r="AR87" i="45"/>
  <c r="AS87" i="45"/>
  <c r="AT87" i="45"/>
  <c r="AT84" i="45"/>
  <c r="AS84" i="45"/>
  <c r="AR84" i="45"/>
  <c r="AQ84" i="45"/>
  <c r="AP84" i="45"/>
  <c r="AO84" i="45"/>
  <c r="AN84" i="45"/>
  <c r="AM84" i="45"/>
  <c r="AL84" i="45"/>
  <c r="AK84" i="45"/>
  <c r="AJ84" i="45"/>
  <c r="AI84" i="45"/>
  <c r="AH84" i="45"/>
  <c r="AG84" i="45"/>
  <c r="AF84" i="45"/>
  <c r="AE84" i="45"/>
  <c r="AD84" i="45"/>
  <c r="AC84" i="45"/>
  <c r="AB84" i="45"/>
  <c r="AA84" i="45"/>
  <c r="AB83" i="45"/>
  <c r="AC83" i="45"/>
  <c r="AD83" i="45"/>
  <c r="AE83" i="45"/>
  <c r="AF83" i="45"/>
  <c r="AG83" i="45"/>
  <c r="AH83" i="45"/>
  <c r="AI83" i="45"/>
  <c r="AJ83" i="45"/>
  <c r="AK83" i="45"/>
  <c r="AL83" i="45"/>
  <c r="AM83" i="45"/>
  <c r="AN83" i="45"/>
  <c r="AO83" i="45"/>
  <c r="AP83" i="45"/>
  <c r="AQ83" i="45"/>
  <c r="AR83" i="45"/>
  <c r="AS83" i="45"/>
  <c r="AT83" i="45"/>
  <c r="AT80" i="45"/>
  <c r="AS80" i="45"/>
  <c r="AR80" i="45"/>
  <c r="AQ80" i="45"/>
  <c r="AP80" i="45"/>
  <c r="AO80" i="45"/>
  <c r="AN80" i="45"/>
  <c r="AM80" i="45"/>
  <c r="AL80" i="45"/>
  <c r="AK80" i="45"/>
  <c r="AJ80" i="45"/>
  <c r="AI80" i="45"/>
  <c r="AH80" i="45"/>
  <c r="AG80" i="45"/>
  <c r="AF80" i="45"/>
  <c r="AE80" i="45"/>
  <c r="AD80" i="45"/>
  <c r="AC80" i="45"/>
  <c r="AB80" i="45"/>
  <c r="AA80" i="45"/>
  <c r="AA63" i="45"/>
  <c r="AA64" i="45"/>
  <c r="Z63" i="45"/>
  <c r="Z64" i="45"/>
  <c r="Y63" i="45"/>
  <c r="Y64" i="45"/>
  <c r="X63" i="45"/>
  <c r="X64" i="45"/>
  <c r="W63" i="45"/>
  <c r="W64" i="45"/>
  <c r="V63" i="45"/>
  <c r="V64" i="45"/>
  <c r="U63" i="45"/>
  <c r="U64" i="45"/>
  <c r="T63" i="45"/>
  <c r="T64" i="45"/>
  <c r="S63" i="45"/>
  <c r="S64" i="45"/>
  <c r="R63" i="45"/>
  <c r="R64" i="45"/>
  <c r="Q63" i="45"/>
  <c r="Q64" i="45"/>
  <c r="P63" i="45"/>
  <c r="P64" i="45"/>
  <c r="O63" i="45"/>
  <c r="O64" i="45"/>
  <c r="N63" i="45"/>
  <c r="N64" i="45"/>
  <c r="M63" i="45"/>
  <c r="M64" i="45"/>
  <c r="L63" i="45"/>
  <c r="L64" i="45"/>
  <c r="K63" i="45"/>
  <c r="K64" i="45"/>
  <c r="J63" i="45"/>
  <c r="J64" i="45"/>
  <c r="I63" i="45"/>
  <c r="I64" i="45"/>
  <c r="H63" i="45"/>
  <c r="H64" i="45"/>
  <c r="R62" i="45"/>
  <c r="Q62" i="45"/>
  <c r="P62" i="45"/>
  <c r="O62" i="45"/>
  <c r="N62" i="45"/>
  <c r="M62" i="45"/>
  <c r="L62" i="45"/>
  <c r="K62" i="45"/>
  <c r="J62" i="45"/>
  <c r="I62" i="45"/>
  <c r="H62" i="45"/>
  <c r="E62" i="45"/>
  <c r="D62" i="45"/>
  <c r="F62" i="45"/>
  <c r="AA57" i="45"/>
  <c r="AA58" i="45"/>
  <c r="Z57" i="45"/>
  <c r="Z58" i="45"/>
  <c r="Y57" i="45"/>
  <c r="Y58" i="45"/>
  <c r="X57" i="45"/>
  <c r="X58" i="45"/>
  <c r="W57" i="45"/>
  <c r="W58" i="45"/>
  <c r="V57" i="45"/>
  <c r="V58" i="45"/>
  <c r="U57" i="45"/>
  <c r="U58" i="45"/>
  <c r="T57" i="45"/>
  <c r="T58" i="45"/>
  <c r="S57" i="45"/>
  <c r="S58" i="45"/>
  <c r="R57" i="45"/>
  <c r="R58" i="45"/>
  <c r="Q57" i="45"/>
  <c r="Q58" i="45"/>
  <c r="P57" i="45"/>
  <c r="P58" i="45"/>
  <c r="O57" i="45"/>
  <c r="O58" i="45"/>
  <c r="N57" i="45"/>
  <c r="N58" i="45"/>
  <c r="M57" i="45"/>
  <c r="M58" i="45"/>
  <c r="L57" i="45"/>
  <c r="L58" i="45"/>
  <c r="K57" i="45"/>
  <c r="K58" i="45"/>
  <c r="J57" i="45"/>
  <c r="J58" i="45"/>
  <c r="I57" i="45"/>
  <c r="I58" i="45"/>
  <c r="H57" i="45"/>
  <c r="H58" i="45"/>
  <c r="AA56" i="45"/>
  <c r="Z56" i="45"/>
  <c r="Y56" i="45"/>
  <c r="X56" i="45"/>
  <c r="W56" i="45"/>
  <c r="V56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E56" i="45"/>
  <c r="D56" i="45"/>
  <c r="F56" i="45"/>
  <c r="AA53" i="45"/>
  <c r="Z53" i="45"/>
  <c r="Z54" i="45"/>
  <c r="Y53" i="45"/>
  <c r="Y54" i="45"/>
  <c r="X53" i="45"/>
  <c r="X54" i="45"/>
  <c r="W53" i="45"/>
  <c r="W54" i="45"/>
  <c r="V53" i="45"/>
  <c r="V54" i="45"/>
  <c r="U53" i="45"/>
  <c r="U54" i="45"/>
  <c r="T53" i="45"/>
  <c r="T54" i="45"/>
  <c r="S53" i="45"/>
  <c r="S54" i="45"/>
  <c r="R53" i="45"/>
  <c r="R54" i="45"/>
  <c r="Q53" i="45"/>
  <c r="Q54" i="45"/>
  <c r="P53" i="45"/>
  <c r="P54" i="45"/>
  <c r="O53" i="45"/>
  <c r="O54" i="45"/>
  <c r="N53" i="45"/>
  <c r="N54" i="45"/>
  <c r="M53" i="45"/>
  <c r="M54" i="45"/>
  <c r="L53" i="45"/>
  <c r="L54" i="45"/>
  <c r="K53" i="45"/>
  <c r="K54" i="45"/>
  <c r="J53" i="45"/>
  <c r="J54" i="45"/>
  <c r="I53" i="45"/>
  <c r="I54" i="45"/>
  <c r="H53" i="45"/>
  <c r="H54" i="45"/>
  <c r="AA52" i="45"/>
  <c r="Z52" i="45"/>
  <c r="Y52" i="45"/>
  <c r="X52" i="45"/>
  <c r="W52" i="45"/>
  <c r="V52" i="45"/>
  <c r="U52" i="45"/>
  <c r="T52" i="45"/>
  <c r="S52" i="45"/>
  <c r="R52" i="45"/>
  <c r="Q52" i="45"/>
  <c r="P52" i="45"/>
  <c r="O52" i="45"/>
  <c r="N52" i="45"/>
  <c r="M52" i="45"/>
  <c r="L52" i="45"/>
  <c r="K52" i="45"/>
  <c r="J52" i="45"/>
  <c r="I52" i="45"/>
  <c r="H52" i="45"/>
  <c r="E52" i="45"/>
  <c r="D52" i="45"/>
  <c r="F52" i="45"/>
  <c r="S49" i="45"/>
  <c r="AA45" i="45"/>
  <c r="AA46" i="45"/>
  <c r="Z45" i="45"/>
  <c r="Z46" i="45"/>
  <c r="Y45" i="45"/>
  <c r="Y46" i="45"/>
  <c r="X45" i="45"/>
  <c r="X46" i="45"/>
  <c r="W45" i="45"/>
  <c r="W46" i="45"/>
  <c r="V45" i="45"/>
  <c r="V46" i="45"/>
  <c r="U45" i="45"/>
  <c r="U46" i="45"/>
  <c r="T45" i="45"/>
  <c r="T46" i="45"/>
  <c r="S45" i="45"/>
  <c r="S46" i="45"/>
  <c r="R45" i="45"/>
  <c r="Q45" i="45"/>
  <c r="Q46" i="45"/>
  <c r="P45" i="45"/>
  <c r="P46" i="45"/>
  <c r="O45" i="45"/>
  <c r="O46" i="45"/>
  <c r="N45" i="45"/>
  <c r="M45" i="45"/>
  <c r="M46" i="45"/>
  <c r="L45" i="45"/>
  <c r="L46" i="45"/>
  <c r="K45" i="45"/>
  <c r="J45" i="45"/>
  <c r="J46" i="45"/>
  <c r="I45" i="45"/>
  <c r="H45" i="45"/>
  <c r="H46" i="45"/>
  <c r="AA44" i="45"/>
  <c r="Z44" i="45"/>
  <c r="Y4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E44" i="45"/>
  <c r="D44" i="45"/>
  <c r="F44" i="45"/>
  <c r="AA39" i="45"/>
  <c r="Z39" i="45"/>
  <c r="Y39" i="45"/>
  <c r="X39" i="45"/>
  <c r="W39" i="45"/>
  <c r="V39" i="45"/>
  <c r="U39" i="45"/>
  <c r="T39" i="45"/>
  <c r="S39" i="45"/>
  <c r="R39" i="45"/>
  <c r="Q39" i="45"/>
  <c r="P39" i="45"/>
  <c r="O39" i="45"/>
  <c r="N39" i="45"/>
  <c r="M39" i="45"/>
  <c r="L39" i="45"/>
  <c r="K39" i="45"/>
  <c r="J39" i="45"/>
  <c r="I39" i="45"/>
  <c r="H39" i="45"/>
  <c r="H23" i="45"/>
  <c r="H22" i="45"/>
  <c r="H20" i="45"/>
  <c r="H19" i="45"/>
  <c r="H17" i="45"/>
  <c r="AA15" i="45"/>
  <c r="X15" i="45"/>
  <c r="Y15" i="45"/>
  <c r="Z15" i="45"/>
  <c r="W15" i="45"/>
  <c r="V15" i="45"/>
  <c r="U15" i="45"/>
  <c r="Q80" i="36"/>
  <c r="Q79" i="36"/>
  <c r="Q78" i="36"/>
  <c r="Q76" i="36"/>
  <c r="Q75" i="36"/>
  <c r="O75" i="36"/>
  <c r="Q74" i="36"/>
  <c r="R75" i="36"/>
  <c r="S75" i="36"/>
  <c r="Q73" i="36"/>
  <c r="Q72" i="36"/>
  <c r="R72" i="36"/>
  <c r="S72" i="36"/>
  <c r="O72" i="36"/>
  <c r="Q71" i="36"/>
  <c r="Q70" i="36"/>
  <c r="R69" i="36"/>
  <c r="S69" i="36"/>
  <c r="Q69" i="36"/>
  <c r="O69" i="36"/>
  <c r="Q68" i="36"/>
  <c r="Q67" i="36"/>
  <c r="R66" i="36"/>
  <c r="S66" i="36"/>
  <c r="Q66" i="36"/>
  <c r="O66" i="36"/>
  <c r="Q65" i="36"/>
  <c r="Q64" i="36"/>
  <c r="Q63" i="36"/>
  <c r="O63" i="36"/>
  <c r="Q62" i="36"/>
  <c r="R63" i="36"/>
  <c r="S63" i="36"/>
  <c r="Q61" i="36"/>
  <c r="Q60" i="36"/>
  <c r="R60" i="36"/>
  <c r="O60" i="36"/>
  <c r="Q59" i="36"/>
  <c r="S60" i="36"/>
  <c r="Q58" i="36"/>
  <c r="Q57" i="36"/>
  <c r="O57" i="36"/>
  <c r="Q56" i="36"/>
  <c r="Q55" i="36"/>
  <c r="Q54" i="36"/>
  <c r="O54" i="36"/>
  <c r="Q53" i="36"/>
  <c r="Q52" i="36"/>
  <c r="Q51" i="36"/>
  <c r="O51" i="36"/>
  <c r="Q50" i="36"/>
  <c r="R51" i="36"/>
  <c r="S51" i="36"/>
  <c r="Q49" i="36"/>
  <c r="Q48" i="36"/>
  <c r="O48" i="36"/>
  <c r="Q47" i="36"/>
  <c r="Q46" i="36"/>
  <c r="Q45" i="36"/>
  <c r="R45" i="36"/>
  <c r="O45" i="36"/>
  <c r="M45" i="36"/>
  <c r="M46" i="36"/>
  <c r="M47" i="36"/>
  <c r="M48" i="36"/>
  <c r="M49" i="36"/>
  <c r="M50" i="36"/>
  <c r="M51" i="36"/>
  <c r="M52" i="36"/>
  <c r="M53" i="36"/>
  <c r="M54" i="36"/>
  <c r="M55" i="36"/>
  <c r="M56" i="36"/>
  <c r="M57" i="36"/>
  <c r="M58" i="36"/>
  <c r="M59" i="36"/>
  <c r="M60" i="36"/>
  <c r="M61" i="36"/>
  <c r="M62" i="36"/>
  <c r="M63" i="36"/>
  <c r="M64" i="36"/>
  <c r="M65" i="36"/>
  <c r="M66" i="36"/>
  <c r="M67" i="36"/>
  <c r="M68" i="36"/>
  <c r="M69" i="36"/>
  <c r="M70" i="36"/>
  <c r="M71" i="36"/>
  <c r="M72" i="36"/>
  <c r="M73" i="36"/>
  <c r="M74" i="36"/>
  <c r="M75" i="36"/>
  <c r="M76" i="36"/>
  <c r="Q44" i="36"/>
  <c r="S45" i="36"/>
  <c r="N13" i="36"/>
  <c r="C10" i="36"/>
  <c r="B10" i="36"/>
  <c r="C9" i="36"/>
  <c r="B9" i="36"/>
  <c r="K21" i="36"/>
  <c r="L21" i="36"/>
  <c r="K19" i="36"/>
  <c r="L19" i="36"/>
  <c r="K27" i="36"/>
  <c r="L27" i="36"/>
  <c r="K26" i="36"/>
  <c r="J35" i="36"/>
  <c r="J25" i="36"/>
  <c r="R48" i="36"/>
  <c r="S48" i="36"/>
  <c r="AA54" i="45"/>
  <c r="N46" i="45"/>
  <c r="R46" i="45"/>
  <c r="S62" i="45"/>
  <c r="X73" i="45"/>
  <c r="I46" i="45"/>
  <c r="K46" i="45"/>
  <c r="T92" i="45"/>
  <c r="AU27" i="45"/>
  <c r="AR27" i="45"/>
  <c r="AS27" i="45"/>
  <c r="AT27" i="45"/>
  <c r="AV27" i="45"/>
  <c r="AR25" i="45"/>
  <c r="AS25" i="45"/>
  <c r="AT25" i="45"/>
  <c r="AV25" i="45"/>
  <c r="AU25" i="45"/>
  <c r="AU28" i="45"/>
  <c r="AR28" i="45"/>
  <c r="AS28" i="45"/>
  <c r="AT28" i="45"/>
  <c r="AV28" i="45"/>
  <c r="AR26" i="45"/>
  <c r="AS26" i="45"/>
  <c r="AT26" i="45"/>
  <c r="AV26" i="45"/>
  <c r="K22" i="36"/>
  <c r="K36" i="36"/>
  <c r="L36" i="36"/>
  <c r="K28" i="36"/>
  <c r="L28" i="36"/>
  <c r="K32" i="36"/>
  <c r="L32" i="36"/>
  <c r="K24" i="36"/>
  <c r="L24" i="36"/>
  <c r="K20" i="36"/>
  <c r="L20" i="36"/>
  <c r="K18" i="36"/>
  <c r="K16" i="36"/>
  <c r="L16" i="36"/>
  <c r="K14" i="36"/>
  <c r="L14" i="36"/>
  <c r="K31" i="36"/>
  <c r="L31" i="36"/>
  <c r="K23" i="36"/>
  <c r="L23" i="36"/>
  <c r="K37" i="36"/>
  <c r="K33" i="36"/>
  <c r="L33" i="36"/>
  <c r="K34" i="36"/>
  <c r="K30" i="36"/>
  <c r="L30" i="36"/>
  <c r="K38" i="36"/>
  <c r="L38" i="36"/>
  <c r="K15" i="36"/>
  <c r="L15" i="36"/>
  <c r="K29" i="36"/>
  <c r="K17" i="36"/>
  <c r="L17" i="36"/>
  <c r="K13" i="36"/>
  <c r="L13" i="36"/>
  <c r="L26" i="36"/>
  <c r="J32" i="36"/>
  <c r="R54" i="36"/>
  <c r="S54" i="36"/>
  <c r="R57" i="36"/>
  <c r="S57" i="36"/>
  <c r="R79" i="36"/>
  <c r="S79" i="36"/>
  <c r="J15" i="36"/>
  <c r="M15" i="36"/>
  <c r="J33" i="36"/>
  <c r="L29" i="36"/>
  <c r="L34" i="36"/>
  <c r="R15" i="36"/>
  <c r="L22" i="36"/>
  <c r="L37" i="36"/>
  <c r="L18" i="36"/>
  <c r="Z80" i="45"/>
  <c r="AI85" i="45"/>
  <c r="AD92" i="45"/>
  <c r="AP89" i="45"/>
  <c r="AA95" i="45"/>
  <c r="AH89" i="45"/>
  <c r="AP92" i="45"/>
  <c r="AD81" i="45"/>
  <c r="AN81" i="45"/>
  <c r="AI89" i="45"/>
  <c r="AO85" i="45"/>
  <c r="AB81" i="45"/>
  <c r="AE81" i="45"/>
  <c r="AA81" i="45"/>
  <c r="AA92" i="45"/>
  <c r="AK95" i="45"/>
  <c r="AD85" i="45"/>
  <c r="AC81" i="45"/>
  <c r="AQ92" i="45"/>
  <c r="AF89" i="45"/>
  <c r="AH95" i="45"/>
  <c r="AL95" i="45"/>
  <c r="AR81" i="45"/>
  <c r="AQ85" i="45"/>
  <c r="AS89" i="45"/>
  <c r="AC89" i="45"/>
  <c r="AP95" i="45"/>
  <c r="AN95" i="45"/>
  <c r="AI92" i="45"/>
  <c r="AK92" i="45"/>
  <c r="AF81" i="45"/>
  <c r="AS85" i="45"/>
  <c r="AH92" i="45"/>
  <c r="AK85" i="45"/>
  <c r="AE95" i="45"/>
  <c r="AK81" i="45"/>
  <c r="AF95" i="45"/>
  <c r="AR92" i="45"/>
  <c r="AN85" i="45"/>
  <c r="AR85" i="45"/>
  <c r="AO89" i="45"/>
  <c r="AB89" i="45"/>
  <c r="AM89" i="45"/>
  <c r="AJ85" i="45"/>
  <c r="AF85" i="45"/>
  <c r="AR95" i="45"/>
  <c r="AG89" i="45"/>
  <c r="AT85" i="45"/>
  <c r="AJ81" i="45"/>
  <c r="AK89" i="45"/>
  <c r="AN89" i="45"/>
  <c r="AQ81" i="45"/>
  <c r="AM95" i="45"/>
  <c r="AL85" i="45"/>
  <c r="AL81" i="45"/>
  <c r="AT92" i="45"/>
  <c r="AC92" i="45"/>
  <c r="AS92" i="45"/>
  <c r="AH85" i="45"/>
  <c r="AJ95" i="45"/>
  <c r="AC85" i="45"/>
  <c r="AP81" i="45"/>
  <c r="AO95" i="45"/>
  <c r="AG92" i="45"/>
  <c r="AH81" i="45"/>
  <c r="AT81" i="45"/>
  <c r="AT89" i="45"/>
  <c r="AS95" i="45"/>
  <c r="AN92" i="45"/>
  <c r="AA85" i="45"/>
  <c r="AT95" i="45"/>
  <c r="AP85" i="45"/>
  <c r="AI81" i="45"/>
  <c r="AL92" i="45"/>
  <c r="AD95" i="45"/>
  <c r="AQ95" i="45"/>
  <c r="AJ92" i="45"/>
  <c r="AI95" i="45"/>
  <c r="AD89" i="45"/>
  <c r="AE85" i="45"/>
  <c r="AO92" i="45"/>
  <c r="AJ89" i="45"/>
  <c r="AG95" i="45"/>
  <c r="AQ89" i="45"/>
  <c r="AM81" i="45"/>
  <c r="AG85" i="45"/>
  <c r="AG81" i="45"/>
  <c r="AC95" i="45"/>
  <c r="AB85" i="45"/>
  <c r="AO81" i="45"/>
  <c r="AR89" i="45"/>
  <c r="AE92" i="45"/>
  <c r="AA89" i="45"/>
  <c r="AM85" i="45"/>
  <c r="AE89" i="45"/>
  <c r="AL89" i="45"/>
  <c r="AS81" i="45"/>
  <c r="AB92" i="45"/>
  <c r="AF92" i="45"/>
  <c r="AM92" i="45"/>
  <c r="AB95" i="45"/>
  <c r="X72" i="45"/>
  <c r="M33" i="36"/>
  <c r="R33" i="36"/>
  <c r="T93" i="45"/>
  <c r="U62" i="45"/>
  <c r="R25" i="36"/>
  <c r="M32" i="36"/>
  <c r="R32" i="36"/>
  <c r="R35" i="36"/>
  <c r="J37" i="36"/>
  <c r="J34" i="36"/>
  <c r="J22" i="36"/>
  <c r="J20" i="36"/>
  <c r="J16" i="36"/>
  <c r="J31" i="36"/>
  <c r="J26" i="36"/>
  <c r="J18" i="36"/>
  <c r="J14" i="36"/>
  <c r="J30" i="36"/>
  <c r="J21" i="36"/>
  <c r="J13" i="36"/>
  <c r="J23" i="36"/>
  <c r="J29" i="36"/>
  <c r="J36" i="36"/>
  <c r="J27" i="36"/>
  <c r="J24" i="36"/>
  <c r="J17" i="36"/>
  <c r="J28" i="36"/>
  <c r="J19" i="36"/>
  <c r="J38" i="36"/>
  <c r="H40" i="45"/>
  <c r="L40" i="45"/>
  <c r="P40" i="45"/>
  <c r="T40" i="45"/>
  <c r="X40" i="45"/>
  <c r="AU26" i="45"/>
  <c r="I40" i="45"/>
  <c r="M40" i="45"/>
  <c r="Q40" i="45"/>
  <c r="U40" i="45"/>
  <c r="Y40" i="45"/>
  <c r="J40" i="45"/>
  <c r="N40" i="45"/>
  <c r="R40" i="45"/>
  <c r="V40" i="45"/>
  <c r="Z40" i="45"/>
  <c r="K40" i="45"/>
  <c r="O40" i="45"/>
  <c r="S40" i="45"/>
  <c r="W40" i="45"/>
  <c r="AA40" i="45"/>
  <c r="K25" i="36"/>
  <c r="L25" i="36"/>
  <c r="L10" i="36"/>
  <c r="K35" i="36"/>
  <c r="L35" i="36"/>
  <c r="X70" i="45"/>
  <c r="X71" i="45"/>
  <c r="R28" i="36"/>
  <c r="M28" i="36"/>
  <c r="R36" i="36"/>
  <c r="M36" i="36"/>
  <c r="M18" i="36"/>
  <c r="R18" i="36"/>
  <c r="M20" i="36"/>
  <c r="R20" i="36"/>
  <c r="R38" i="36"/>
  <c r="M38" i="36"/>
  <c r="R24" i="36"/>
  <c r="M24" i="36"/>
  <c r="R30" i="36"/>
  <c r="M30" i="36"/>
  <c r="R31" i="36"/>
  <c r="M31" i="36"/>
  <c r="R34" i="36"/>
  <c r="M34" i="36"/>
  <c r="T94" i="45"/>
  <c r="V62" i="45"/>
  <c r="R19" i="36"/>
  <c r="M19" i="36"/>
  <c r="R27" i="36"/>
  <c r="M27" i="36"/>
  <c r="M23" i="36"/>
  <c r="R23" i="36"/>
  <c r="R14" i="36"/>
  <c r="M14" i="36"/>
  <c r="M16" i="36"/>
  <c r="R16" i="36"/>
  <c r="R37" i="36"/>
  <c r="M37" i="36"/>
  <c r="M25" i="36"/>
  <c r="R13" i="36"/>
  <c r="M13" i="36"/>
  <c r="AR24" i="45"/>
  <c r="AS24" i="45"/>
  <c r="AU24" i="45"/>
  <c r="G65" i="45"/>
  <c r="M17" i="36"/>
  <c r="R17" i="36"/>
  <c r="R29" i="36"/>
  <c r="M29" i="36"/>
  <c r="M21" i="36"/>
  <c r="R21" i="36"/>
  <c r="R26" i="36"/>
  <c r="M26" i="36"/>
  <c r="R22" i="36"/>
  <c r="M22" i="36"/>
  <c r="M35" i="36"/>
  <c r="M10" i="36"/>
  <c r="D13" i="36"/>
  <c r="T95" i="45"/>
  <c r="W62" i="45"/>
  <c r="AT24" i="45"/>
  <c r="AV24" i="45"/>
  <c r="D32" i="45"/>
  <c r="R10" i="36"/>
  <c r="R32" i="45"/>
  <c r="G66" i="45"/>
  <c r="U63" i="36"/>
  <c r="O23" i="36"/>
  <c r="O33" i="36"/>
  <c r="O35" i="36"/>
  <c r="O14" i="36"/>
  <c r="U54" i="36"/>
  <c r="O21" i="36"/>
  <c r="O15" i="36"/>
  <c r="U57" i="36"/>
  <c r="U51" i="36"/>
  <c r="U48" i="36"/>
  <c r="O37" i="36"/>
  <c r="U75" i="36"/>
  <c r="O24" i="36"/>
  <c r="O34" i="36"/>
  <c r="U66" i="36"/>
  <c r="O28" i="36"/>
  <c r="O18" i="36"/>
  <c r="O27" i="36"/>
  <c r="O29" i="36"/>
  <c r="U45" i="36"/>
  <c r="O22" i="36"/>
  <c r="O36" i="36"/>
  <c r="E13" i="36"/>
  <c r="O38" i="36"/>
  <c r="T31" i="45"/>
  <c r="X62" i="45"/>
  <c r="T96" i="45"/>
  <c r="T38" i="36"/>
  <c r="U38" i="36"/>
  <c r="T22" i="36"/>
  <c r="U22" i="36"/>
  <c r="T27" i="36"/>
  <c r="U27" i="36"/>
  <c r="W66" i="36"/>
  <c r="V66" i="36"/>
  <c r="W75" i="36"/>
  <c r="V75" i="36"/>
  <c r="V51" i="36"/>
  <c r="W51" i="36"/>
  <c r="T15" i="36"/>
  <c r="U15" i="36"/>
  <c r="W54" i="36"/>
  <c r="V54" i="36"/>
  <c r="T35" i="36"/>
  <c r="U35" i="36"/>
  <c r="T23" i="36"/>
  <c r="U23" i="36"/>
  <c r="T18" i="36"/>
  <c r="U18" i="36"/>
  <c r="T34" i="36"/>
  <c r="U34" i="36"/>
  <c r="T37" i="36"/>
  <c r="U37" i="36"/>
  <c r="W57" i="36"/>
  <c r="V57" i="36"/>
  <c r="T21" i="36"/>
  <c r="U21" i="36"/>
  <c r="T14" i="36"/>
  <c r="U14" i="36"/>
  <c r="T33" i="36"/>
  <c r="U33" i="36"/>
  <c r="W63" i="36"/>
  <c r="V63" i="36"/>
  <c r="O13" i="36"/>
  <c r="O30" i="36"/>
  <c r="O32" i="36"/>
  <c r="U60" i="36"/>
  <c r="O19" i="36"/>
  <c r="O16" i="36"/>
  <c r="U69" i="36"/>
  <c r="O17" i="36"/>
  <c r="O31" i="36"/>
  <c r="W45" i="36"/>
  <c r="V45" i="36"/>
  <c r="Y62" i="45"/>
  <c r="T97" i="45"/>
  <c r="T36" i="36"/>
  <c r="U36" i="36"/>
  <c r="T29" i="36"/>
  <c r="U29" i="36"/>
  <c r="T28" i="36"/>
  <c r="U28" i="36"/>
  <c r="T24" i="36"/>
  <c r="U24" i="36"/>
  <c r="V48" i="36"/>
  <c r="W48" i="36"/>
  <c r="O26" i="36"/>
  <c r="O20" i="36"/>
  <c r="U72" i="36"/>
  <c r="O25" i="36"/>
  <c r="T25" i="36"/>
  <c r="U25" i="36"/>
  <c r="P25" i="36"/>
  <c r="W72" i="36"/>
  <c r="V72" i="36"/>
  <c r="P16" i="36"/>
  <c r="T16" i="36"/>
  <c r="U16" i="36"/>
  <c r="T30" i="36"/>
  <c r="U30" i="36"/>
  <c r="P30" i="36"/>
  <c r="T20" i="36"/>
  <c r="U20" i="36"/>
  <c r="P20" i="36"/>
  <c r="T98" i="45"/>
  <c r="AA62" i="45"/>
  <c r="Z62" i="45"/>
  <c r="T31" i="36"/>
  <c r="U31" i="36"/>
  <c r="P31" i="36"/>
  <c r="T19" i="36"/>
  <c r="U19" i="36"/>
  <c r="P19" i="36"/>
  <c r="O9" i="36"/>
  <c r="P13" i="36"/>
  <c r="T13" i="36"/>
  <c r="T26" i="36"/>
  <c r="U26" i="36"/>
  <c r="P26" i="36"/>
  <c r="T17" i="36"/>
  <c r="U17" i="36"/>
  <c r="P17" i="36"/>
  <c r="V60" i="36"/>
  <c r="W60" i="36"/>
  <c r="V69" i="36"/>
  <c r="W69" i="36"/>
  <c r="T32" i="36"/>
  <c r="U32" i="36"/>
  <c r="P32" i="36"/>
  <c r="Q32" i="36"/>
  <c r="S32" i="36"/>
  <c r="Q19" i="36"/>
  <c r="S19" i="36"/>
  <c r="Q17" i="36"/>
  <c r="S17" i="36"/>
  <c r="Q26" i="36"/>
  <c r="S26" i="36"/>
  <c r="T10" i="36"/>
  <c r="G13" i="36"/>
  <c r="I25" i="36"/>
  <c r="U13" i="36"/>
  <c r="Q16" i="36"/>
  <c r="S16" i="36"/>
  <c r="Q25" i="36"/>
  <c r="S25" i="36"/>
  <c r="Q13" i="36"/>
  <c r="S13" i="36"/>
  <c r="Q31" i="36"/>
  <c r="S31" i="36"/>
  <c r="Q20" i="36"/>
  <c r="S20" i="36"/>
  <c r="Q30" i="36"/>
  <c r="S30" i="36"/>
  <c r="P22" i="36"/>
  <c r="P34" i="36"/>
  <c r="P23" i="36"/>
  <c r="P14" i="36"/>
  <c r="P37" i="36"/>
  <c r="P21" i="36"/>
  <c r="P29" i="36"/>
  <c r="P24" i="36"/>
  <c r="P38" i="36"/>
  <c r="P27" i="36"/>
  <c r="P15" i="36"/>
  <c r="P35" i="36"/>
  <c r="P18" i="36"/>
  <c r="P33" i="36"/>
  <c r="P36" i="36"/>
  <c r="P28" i="36"/>
  <c r="I30" i="36"/>
  <c r="Q36" i="36"/>
  <c r="S36" i="36"/>
  <c r="Q15" i="36"/>
  <c r="S15" i="36"/>
  <c r="Q29" i="36"/>
  <c r="S29" i="36"/>
  <c r="Q23" i="36"/>
  <c r="S23" i="36"/>
  <c r="I26" i="36"/>
  <c r="I20" i="36"/>
  <c r="S33" i="36"/>
  <c r="Q33" i="36"/>
  <c r="Q27" i="36"/>
  <c r="S27" i="36"/>
  <c r="Q21" i="36"/>
  <c r="S21" i="36"/>
  <c r="Q34" i="36"/>
  <c r="S34" i="36"/>
  <c r="I17" i="36"/>
  <c r="I32" i="36"/>
  <c r="I31" i="36"/>
  <c r="Q18" i="36"/>
  <c r="S18" i="36"/>
  <c r="Q38" i="36"/>
  <c r="S38" i="36"/>
  <c r="Q37" i="36"/>
  <c r="S37" i="36"/>
  <c r="Q22" i="36"/>
  <c r="S22" i="36"/>
  <c r="I19" i="36"/>
  <c r="I16" i="36"/>
  <c r="Q28" i="36"/>
  <c r="S28" i="36"/>
  <c r="Q35" i="36"/>
  <c r="S35" i="36"/>
  <c r="Q24" i="36"/>
  <c r="S24" i="36"/>
  <c r="Q14" i="36"/>
  <c r="S14" i="36"/>
  <c r="S10" i="36"/>
  <c r="F13" i="36"/>
  <c r="Q10" i="36"/>
  <c r="I13" i="36"/>
  <c r="H13" i="36"/>
  <c r="I18" i="36"/>
  <c r="I38" i="36"/>
  <c r="I29" i="36"/>
  <c r="I14" i="36"/>
  <c r="I35" i="36"/>
  <c r="I34" i="36"/>
  <c r="I23" i="36"/>
  <c r="I21" i="36"/>
  <c r="I15" i="36"/>
  <c r="I22" i="36"/>
  <c r="I28" i="36"/>
  <c r="I37" i="36"/>
  <c r="I33" i="36"/>
  <c r="I27" i="36"/>
  <c r="I24" i="36"/>
  <c r="I36" i="36"/>
</calcChain>
</file>

<file path=xl/comments1.xml><?xml version="1.0" encoding="utf-8"?>
<comments xmlns="http://schemas.openxmlformats.org/spreadsheetml/2006/main">
  <authors>
    <author>Автор</author>
  </authors>
  <commentList>
    <comment ref="Y14" authorId="0" shapeId="0">
      <text>
        <r>
          <rPr>
            <b/>
            <sz val="8"/>
            <color indexed="17"/>
            <rFont val="Tahoma"/>
            <family val="2"/>
            <charset val="204"/>
          </rPr>
          <t>Среднеквадратическая ошибка</t>
        </r>
        <r>
          <rPr>
            <sz val="8"/>
            <color indexed="81"/>
            <rFont val="Tahoma"/>
            <family val="2"/>
            <charset val="204"/>
          </rPr>
          <t xml:space="preserve"> испытательного ПРЕССА или 0,02*Rср (ср. прочностьбетона при испытании на прессе)</t>
        </r>
      </text>
    </comment>
    <comment ref="Z14" authorId="0" shapeId="0">
      <text>
        <r>
          <rPr>
            <b/>
            <sz val="8"/>
            <color indexed="17"/>
            <rFont val="Tahoma"/>
            <family val="2"/>
            <charset val="204"/>
          </rPr>
          <t xml:space="preserve">Среднеквадратическая </t>
        </r>
        <r>
          <rPr>
            <b/>
            <sz val="8"/>
            <color indexed="10"/>
            <rFont val="Tahoma"/>
            <family val="2"/>
            <charset val="204"/>
          </rPr>
          <t>общая</t>
        </r>
        <r>
          <rPr>
            <b/>
            <sz val="8"/>
            <color indexed="17"/>
            <rFont val="Tahoma"/>
            <family val="2"/>
            <charset val="204"/>
          </rPr>
          <t xml:space="preserve"> ошибка </t>
        </r>
        <r>
          <rPr>
            <sz val="8"/>
            <color indexed="81"/>
            <rFont val="Tahoma"/>
            <family val="2"/>
            <charset val="204"/>
          </rPr>
          <t>градуировочной зависимости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A14" authorId="0" shapeId="0">
      <text>
        <r>
          <rPr>
            <b/>
            <sz val="8"/>
            <color indexed="17"/>
            <rFont val="Tahoma"/>
            <family val="2"/>
            <charset val="204"/>
          </rPr>
          <t>Коэффициент корреляции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градуировочной зависимости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Q22" authorId="0" shapeId="0">
      <text>
        <r>
          <rPr>
            <b/>
            <u/>
            <sz val="8"/>
            <color indexed="10"/>
            <rFont val="Tahoma"/>
            <family val="2"/>
            <charset val="204"/>
          </rPr>
          <t xml:space="preserve">Условие выбора формулы. 
</t>
        </r>
        <r>
          <rPr>
            <b/>
            <sz val="8"/>
            <color indexed="81"/>
            <rFont val="Tahoma"/>
            <family val="2"/>
            <charset val="204"/>
          </rPr>
          <t>Отклонение е</t>
        </r>
        <r>
          <rPr>
            <b/>
            <sz val="8"/>
            <color indexed="81"/>
            <rFont val="Tahoma"/>
            <family val="2"/>
            <charset val="204"/>
          </rPr>
          <t xml:space="preserve">диничного  значения прочности бетона Ri  </t>
        </r>
        <r>
          <rPr>
            <sz val="8"/>
            <color indexed="81"/>
            <rFont val="Tahoma"/>
            <family val="2"/>
            <charset val="204"/>
          </rPr>
          <t>от</t>
        </r>
        <r>
          <rPr>
            <b/>
            <sz val="8"/>
            <color indexed="81"/>
            <rFont val="Tahoma"/>
            <family val="2"/>
            <charset val="204"/>
          </rPr>
          <t xml:space="preserve"> Rm   </t>
        </r>
        <r>
          <rPr>
            <b/>
            <sz val="8"/>
            <color indexed="81"/>
            <rFont val="Times New Roman"/>
            <family val="1"/>
            <charset val="204"/>
          </rPr>
          <t>≤</t>
        </r>
        <r>
          <rPr>
            <b/>
            <sz val="8"/>
            <color indexed="81"/>
            <rFont val="Tahoma"/>
            <family val="2"/>
            <charset val="204"/>
          </rPr>
          <t xml:space="preserve"> 5% </t>
        </r>
        <r>
          <rPr>
            <sz val="8"/>
            <color indexed="81"/>
            <rFont val="Tahoma"/>
            <family val="2"/>
            <charset val="204"/>
          </rPr>
          <t xml:space="preserve">или </t>
        </r>
        <r>
          <rPr>
            <b/>
            <sz val="8"/>
            <color indexed="81"/>
            <rFont val="Tahoma"/>
            <family val="2"/>
            <charset val="204"/>
          </rPr>
          <t>&gt; 5%</t>
        </r>
        <r>
          <rPr>
            <sz val="8"/>
            <color indexed="81"/>
            <rFont val="Tahoma"/>
            <family val="2"/>
            <charset val="204"/>
          </rPr>
          <t xml:space="preserve"> </t>
        </r>
      </text>
    </comment>
    <comment ref="AR22" authorId="0" shapeId="0">
      <text>
        <r>
          <rPr>
            <b/>
            <sz val="8"/>
            <color indexed="10"/>
            <rFont val="Tahoma"/>
            <family val="2"/>
            <charset val="204"/>
          </rPr>
          <t>Среднеквадратическое отклонение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 xml:space="preserve">прочности бетона </t>
        </r>
        <r>
          <rPr>
            <b/>
            <sz val="8"/>
            <color indexed="10"/>
            <rFont val="Tahoma"/>
            <family val="2"/>
            <charset val="204"/>
          </rPr>
          <t>в конструкции</t>
        </r>
        <r>
          <rPr>
            <sz val="8"/>
            <color indexed="81"/>
            <rFont val="Tahoma"/>
            <family val="2"/>
            <charset val="204"/>
          </rPr>
          <t xml:space="preserve"> по результатам  неразрушающего контроля.
</t>
        </r>
        <r>
          <rPr>
            <sz val="8"/>
            <color indexed="81"/>
            <rFont val="Calibri"/>
            <family val="2"/>
            <charset val="204"/>
          </rPr>
          <t>√</t>
        </r>
        <r>
          <rPr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Calibri"/>
            <family val="2"/>
            <charset val="204"/>
          </rPr>
          <t>∑(Ri-Rm)^2 / √(n-1)</t>
        </r>
      </text>
    </comment>
    <comment ref="AS22" authorId="0" shapeId="0">
      <text>
        <r>
          <rPr>
            <b/>
            <sz val="8"/>
            <color indexed="10"/>
            <rFont val="Tahoma"/>
            <family val="2"/>
            <charset val="204"/>
          </rPr>
          <t>Среднеквадратическое отклонение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 xml:space="preserve">прочности бетона конструкции </t>
        </r>
        <r>
          <rPr>
            <sz val="8"/>
            <color indexed="10"/>
            <rFont val="Tahoma"/>
            <family val="2"/>
            <charset val="204"/>
          </rPr>
          <t xml:space="preserve">с учетом среднеквадратического отклонения прочности бетона в конструкции и среднеквадратичесой ошибки построенной градуировочной зависимости </t>
        </r>
        <r>
          <rPr>
            <sz val="8"/>
            <color indexed="81"/>
            <rFont val="Tahoma"/>
            <family val="2"/>
            <charset val="204"/>
          </rPr>
          <t xml:space="preserve">к конкретному прибору
Sm = (Smнм + Sт/(n-1))*1/(0,7* r+0,3)
</t>
        </r>
      </text>
    </comment>
    <comment ref="AT22" authorId="0" shapeId="0">
      <text>
        <r>
          <rPr>
            <b/>
            <sz val="8"/>
            <color indexed="10"/>
            <rFont val="Tahoma"/>
            <family val="2"/>
            <charset val="204"/>
          </rPr>
          <t xml:space="preserve">Коэффициент вариации </t>
        </r>
        <r>
          <rPr>
            <sz val="8"/>
            <color indexed="81"/>
            <rFont val="Tahoma"/>
            <family val="2"/>
            <charset val="204"/>
          </rPr>
          <t xml:space="preserve">прочности бетона в конструкции
Vm = Sm*100/Rm
</t>
        </r>
      </text>
    </comment>
    <comment ref="AU22" authorId="0" shapeId="0">
      <text>
        <r>
          <rPr>
            <b/>
            <i/>
            <u/>
            <sz val="8"/>
            <color indexed="10"/>
            <rFont val="Tahoma"/>
            <family val="2"/>
            <charset val="204"/>
          </rPr>
          <t>Условие выбора формулы.</t>
        </r>
        <r>
          <rPr>
            <b/>
            <u/>
            <sz val="8"/>
            <color indexed="18"/>
            <rFont val="Tahoma"/>
            <family val="2"/>
            <charset val="204"/>
          </rPr>
          <t xml:space="preserve">
</t>
        </r>
        <r>
          <rPr>
            <b/>
            <sz val="8"/>
            <color indexed="18"/>
            <rFont val="Tahoma"/>
            <family val="2"/>
            <charset val="204"/>
          </rPr>
          <t xml:space="preserve">Общее число единичных значений (участков) </t>
        </r>
        <r>
          <rPr>
            <sz val="8"/>
            <color indexed="18"/>
            <rFont val="Tahoma"/>
            <family val="2"/>
            <charset val="204"/>
          </rPr>
          <t>прочности бетона</t>
        </r>
        <r>
          <rPr>
            <b/>
            <sz val="8"/>
            <color indexed="18"/>
            <rFont val="Tahoma"/>
            <family val="2"/>
            <charset val="204"/>
          </rPr>
          <t xml:space="preserve"> в конструкции:
</t>
        </r>
        <r>
          <rPr>
            <sz val="8"/>
            <color indexed="18"/>
            <rFont val="Tahoma"/>
            <family val="2"/>
            <charset val="204"/>
          </rPr>
          <t xml:space="preserve"> (</t>
        </r>
        <r>
          <rPr>
            <b/>
            <sz val="8"/>
            <color indexed="10"/>
            <rFont val="Times New Roman"/>
            <family val="1"/>
            <charset val="204"/>
          </rPr>
          <t>∑</t>
        </r>
        <r>
          <rPr>
            <b/>
            <sz val="10"/>
            <color indexed="10"/>
            <rFont val="Times New Roman"/>
            <family val="1"/>
            <charset val="204"/>
          </rPr>
          <t xml:space="preserve"> </t>
        </r>
        <r>
          <rPr>
            <b/>
            <sz val="12"/>
            <color indexed="10"/>
            <rFont val="Times New Roman"/>
            <family val="1"/>
            <charset val="204"/>
          </rPr>
          <t>n</t>
        </r>
        <r>
          <rPr>
            <b/>
            <vertAlign val="subscript"/>
            <sz val="10"/>
            <color indexed="81"/>
            <rFont val="Times New Roman"/>
            <family val="1"/>
            <charset val="204"/>
          </rPr>
          <t>i</t>
        </r>
        <r>
          <rPr>
            <sz val="10"/>
            <color indexed="81"/>
            <rFont val="Times New Roman"/>
            <family val="1"/>
            <charset val="204"/>
          </rPr>
          <t xml:space="preserve">) </t>
        </r>
        <r>
          <rPr>
            <b/>
            <sz val="10"/>
            <color indexed="10"/>
            <rFont val="Times New Roman"/>
            <family val="1"/>
            <charset val="204"/>
          </rPr>
          <t>≥6</t>
        </r>
        <r>
          <rPr>
            <b/>
            <sz val="10"/>
            <color indexed="81"/>
            <rFont val="Times New Roman"/>
            <family val="1"/>
            <charset val="204"/>
          </rPr>
          <t xml:space="preserve"> </t>
        </r>
        <r>
          <rPr>
            <sz val="10"/>
            <color indexed="81"/>
            <rFont val="Times New Roman"/>
            <family val="1"/>
            <charset val="204"/>
          </rPr>
          <t xml:space="preserve">или </t>
        </r>
        <r>
          <rPr>
            <b/>
            <sz val="10"/>
            <color indexed="81"/>
            <rFont val="Times New Roman"/>
            <family val="1"/>
            <charset val="204"/>
          </rPr>
          <t xml:space="preserve"> </t>
        </r>
        <r>
          <rPr>
            <b/>
            <sz val="10"/>
            <color indexed="10"/>
            <rFont val="Times New Roman"/>
            <family val="1"/>
            <charset val="204"/>
          </rPr>
          <t>&lt;6.
Принимаем сами - всегда не менее 6 (Королёва Г.П.)</t>
        </r>
      </text>
    </comment>
    <comment ref="AV22" authorId="0" shapeId="0">
      <text>
        <r>
          <rPr>
            <b/>
            <sz val="8"/>
            <color indexed="10"/>
            <rFont val="Tahoma"/>
            <family val="2"/>
            <charset val="204"/>
          </rPr>
          <t>Коэффициент требуемой прочности</t>
        </r>
        <r>
          <rPr>
            <sz val="8"/>
            <color indexed="81"/>
            <rFont val="Tahoma"/>
            <family val="2"/>
            <charset val="204"/>
          </rPr>
          <t xml:space="preserve">, вычесленный с учетом </t>
        </r>
        <r>
          <rPr>
            <b/>
            <sz val="10"/>
            <color indexed="81"/>
            <rFont val="Tahoma"/>
            <family val="2"/>
            <charset val="204"/>
          </rPr>
          <t>t</t>
        </r>
        <r>
          <rPr>
            <b/>
            <vertAlign val="subscript"/>
            <sz val="10"/>
            <color indexed="81"/>
            <rFont val="Times New Roman"/>
            <family val="1"/>
            <charset val="204"/>
          </rPr>
          <t>ά</t>
        </r>
        <r>
          <rPr>
            <b/>
            <sz val="10"/>
            <color indexed="81"/>
            <rFont val="Tahoma"/>
            <family val="2"/>
            <charset val="204"/>
          </rPr>
          <t xml:space="preserve">  </t>
        </r>
        <r>
          <rPr>
            <sz val="6.8"/>
            <color indexed="81"/>
            <rFont val="Tahoma"/>
            <family val="2"/>
            <charset val="204"/>
          </rPr>
          <t xml:space="preserve">и  </t>
        </r>
        <r>
          <rPr>
            <b/>
            <sz val="10"/>
            <color indexed="81"/>
            <rFont val="Tahoma"/>
            <family val="2"/>
            <charset val="204"/>
          </rPr>
          <t>V</t>
        </r>
        <r>
          <rPr>
            <b/>
            <vertAlign val="subscript"/>
            <sz val="10"/>
            <color indexed="81"/>
            <rFont val="Tahoma"/>
            <family val="2"/>
            <charset val="204"/>
          </rPr>
          <t xml:space="preserve">m </t>
        </r>
        <r>
          <rPr>
            <sz val="10"/>
            <color indexed="81"/>
            <rFont val="Tahoma"/>
            <family val="2"/>
            <charset val="204"/>
          </rPr>
          <t>(0-12)%</t>
        </r>
      </text>
    </comment>
  </commentList>
</comments>
</file>

<file path=xl/sharedStrings.xml><?xml version="1.0" encoding="utf-8"?>
<sst xmlns="http://schemas.openxmlformats.org/spreadsheetml/2006/main" count="223" uniqueCount="163">
  <si>
    <t xml:space="preserve"> </t>
  </si>
  <si>
    <t>дата испытания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</si>
  <si>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</si>
  <si>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</si>
  <si>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</si>
  <si>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</si>
  <si>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</si>
  <si>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</si>
  <si>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</si>
  <si>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</si>
  <si>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</si>
  <si>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</si>
  <si>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</si>
  <si>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</si>
  <si>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</si>
  <si>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</si>
  <si>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</si>
  <si>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</si>
  <si>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</si>
  <si>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19</t>
  </si>
  <si>
    <t>В5</t>
  </si>
  <si>
    <t>В7.5</t>
  </si>
  <si>
    <t>В12.5</t>
  </si>
  <si>
    <t>В15</t>
  </si>
  <si>
    <t>В20</t>
  </si>
  <si>
    <t>В22.5</t>
  </si>
  <si>
    <t>В25</t>
  </si>
  <si>
    <t>В30</t>
  </si>
  <si>
    <t>В35</t>
  </si>
  <si>
    <t>В40</t>
  </si>
  <si>
    <t>В45</t>
  </si>
  <si>
    <t>В50</t>
  </si>
  <si>
    <t>В55</t>
  </si>
  <si>
    <t>Класс бетона</t>
  </si>
  <si>
    <t xml:space="preserve">                  </t>
  </si>
  <si>
    <t>Испытания провел</t>
  </si>
  <si>
    <t>Объект</t>
  </si>
  <si>
    <t>Поставщик бетона</t>
  </si>
  <si>
    <t>В60</t>
  </si>
  <si>
    <t>№</t>
  </si>
  <si>
    <t>№ участка</t>
  </si>
  <si>
    <t>Hi, (МПа)</t>
  </si>
  <si>
    <t>Ri, (МПа)</t>
  </si>
  <si>
    <t xml:space="preserve">Sтнм  </t>
  </si>
  <si>
    <t>Sт рм</t>
  </si>
  <si>
    <t>r</t>
  </si>
  <si>
    <t>Макс. откл,%</t>
  </si>
  <si>
    <r>
      <t>S</t>
    </r>
    <r>
      <rPr>
        <vertAlign val="subscript"/>
        <sz val="12"/>
        <rFont val="Times New Roman"/>
        <family val="1"/>
        <charset val="204"/>
      </rPr>
      <t>m</t>
    </r>
    <r>
      <rPr>
        <vertAlign val="superscript"/>
        <sz val="12"/>
        <rFont val="Times New Roman"/>
        <family val="1"/>
        <charset val="204"/>
      </rPr>
      <t>нм</t>
    </r>
    <r>
      <rPr>
        <sz val="12"/>
        <rFont val="Times New Roman"/>
        <family val="1"/>
        <charset val="204"/>
      </rPr>
      <t xml:space="preserve">  </t>
    </r>
    <r>
      <rPr>
        <sz val="8"/>
        <rFont val="Times New Roman"/>
        <family val="1"/>
        <charset val="204"/>
      </rPr>
      <t xml:space="preserve">МПа  </t>
    </r>
  </si>
  <si>
    <r>
      <t>S</t>
    </r>
    <r>
      <rPr>
        <vertAlign val="subscript"/>
        <sz val="12"/>
        <rFont val="Times New Roman"/>
        <family val="1"/>
        <charset val="204"/>
      </rPr>
      <t xml:space="preserve">m </t>
    </r>
    <r>
      <rPr>
        <sz val="12"/>
        <rFont val="Times New Roman"/>
        <family val="1"/>
        <charset val="204"/>
      </rPr>
      <t xml:space="preserve"> </t>
    </r>
  </si>
  <si>
    <r>
      <t>V</t>
    </r>
    <r>
      <rPr>
        <vertAlign val="subscript"/>
        <sz val="12"/>
        <rFont val="Times New Roman"/>
        <family val="1"/>
        <charset val="204"/>
      </rPr>
      <t>m</t>
    </r>
    <r>
      <rPr>
        <sz val="12"/>
        <rFont val="Times New Roman"/>
        <family val="1"/>
        <charset val="204"/>
      </rPr>
      <t xml:space="preserve">,                      </t>
    </r>
    <r>
      <rPr>
        <sz val="10"/>
        <rFont val="Times New Roman"/>
        <family val="1"/>
        <charset val="204"/>
      </rPr>
      <t xml:space="preserve"> %</t>
    </r>
  </si>
  <si>
    <t xml:space="preserve"> n</t>
  </si>
  <si>
    <r>
      <t>К</t>
    </r>
    <r>
      <rPr>
        <vertAlign val="subscript"/>
        <sz val="8"/>
        <rFont val="Times New Roman"/>
        <family val="1"/>
        <charset val="204"/>
      </rPr>
      <t>т</t>
    </r>
  </si>
  <si>
    <t>Данные  построенной градуировочной зависимости</t>
  </si>
  <si>
    <t>18</t>
  </si>
  <si>
    <t>а1</t>
  </si>
  <si>
    <t>а0</t>
  </si>
  <si>
    <t>St</t>
  </si>
  <si>
    <t>Rср</t>
  </si>
  <si>
    <t>20</t>
  </si>
  <si>
    <t>The object of construction, design:</t>
  </si>
  <si>
    <t>Филиал ООО трест "РосСЭМ"/Branch of trest Rossem LLC"</t>
  </si>
  <si>
    <t>Филиал в НРБ RoinWorld S.L./Branch in NRB RoinWorld S.L.</t>
  </si>
  <si>
    <t>Оргэнергострой</t>
  </si>
  <si>
    <t>Abu Saeem Sajal</t>
  </si>
  <si>
    <t>Salma Alam</t>
  </si>
  <si>
    <t>Jakia Begum</t>
  </si>
  <si>
    <t>Должность /position</t>
  </si>
  <si>
    <t>Ф.И.О./initial</t>
  </si>
  <si>
    <t>Подпись/signature</t>
  </si>
  <si>
    <t>Дата/date</t>
  </si>
  <si>
    <t>Начальник строительной лаборатории/Head of construction laboratory</t>
  </si>
  <si>
    <t>Представитель АСЭ/The representative of ASE</t>
  </si>
  <si>
    <t>Представитель BAEC: инженер NPCBL/Representative BAEC: the engineer NPCBL</t>
  </si>
  <si>
    <t>М.П.</t>
  </si>
  <si>
    <t>Г.Р.Купутдинова/G.R. Kuputdinova</t>
  </si>
  <si>
    <t>Построение градуировочной зависимости для определения прочности бетона косвенным методом ультразвукового контроля</t>
  </si>
  <si>
    <t xml:space="preserve">среднее </t>
  </si>
  <si>
    <t>сумма</t>
  </si>
  <si>
    <t>№ п/п</t>
  </si>
  <si>
    <t>Нi</t>
  </si>
  <si>
    <t>Riф</t>
  </si>
  <si>
    <t>Riн = a * Hi + b</t>
  </si>
  <si>
    <t>Sт.н.м.</t>
  </si>
  <si>
    <t>Погрешность определения прочности бетона по градуировочной зависимости (≤15%)</t>
  </si>
  <si>
    <r>
      <t>Параметр отбраковки результатов
 (</t>
    </r>
    <r>
      <rPr>
        <sz val="12"/>
        <color indexed="8"/>
        <rFont val="Times New Roman"/>
        <family val="1"/>
        <charset val="204"/>
      </rPr>
      <t>≤ 2</t>
    </r>
    <r>
      <rPr>
        <sz val="10"/>
        <rFont val="Arial"/>
      </rPr>
      <t>)</t>
    </r>
  </si>
  <si>
    <t>Параметры для расчета коэффициентов a и b</t>
  </si>
  <si>
    <t>n</t>
  </si>
  <si>
    <t>Riн</t>
  </si>
  <si>
    <t>Параметры для расчета коэффициента корреляции, r</t>
  </si>
  <si>
    <t>(Riн-Riф)^2</t>
  </si>
  <si>
    <t>|Riн-Riф|</t>
  </si>
  <si>
    <t>a</t>
  </si>
  <si>
    <t>b</t>
  </si>
  <si>
    <t>Rфср-Riф</t>
  </si>
  <si>
    <t>Hiср-Hi</t>
  </si>
  <si>
    <t>(Hiср-Hi)^2</t>
  </si>
  <si>
    <t>(Riфср-Riф)* (Hiср-Hi)</t>
  </si>
  <si>
    <t>Riн-Riнср</t>
  </si>
  <si>
    <t>(Riн-Riнср)^2</t>
  </si>
  <si>
    <t>(Riф-Riфср)^2</t>
  </si>
  <si>
    <t>(Riн-Riнср)* (Riф-Riфср)</t>
  </si>
  <si>
    <t>Hi</t>
  </si>
  <si>
    <t>Rф</t>
  </si>
  <si>
    <t>Мпа</t>
  </si>
  <si>
    <t>В</t>
  </si>
  <si>
    <t>проверка</t>
  </si>
  <si>
    <t xml:space="preserve"> - общее число еденичных значений прочности бетона</t>
  </si>
  <si>
    <t xml:space="preserve"> - показание прибора косвенного метода неразрушающего контроля на участке конструкции, ед прибора (заносится втаблицу)</t>
  </si>
  <si>
    <t xml:space="preserve"> - значение прочности бетона на участке конструкции, полученное методом сжатия образцов-кубов, МПа  (заносится втаблицу)</t>
  </si>
  <si>
    <t xml:space="preserve"> - единичное значение прочности бетона на участке, полученное косвенным методом неразрушающего контроля, МПа</t>
  </si>
  <si>
    <t xml:space="preserve"> - коэффициент корреляции градуировочной зависимости</t>
  </si>
  <si>
    <t>Sтнм</t>
  </si>
  <si>
    <t xml:space="preserve"> - среднеквадратическая ошибка построенной градуировочной зависимости</t>
  </si>
  <si>
    <t xml:space="preserve">АЭС Руппур НРБ   /   Ruppur nuclear Power plant People's Republic of Bangladesh </t>
  </si>
  <si>
    <t>Дата испытания/Test date</t>
  </si>
  <si>
    <t>Возраст, сут/Age, day</t>
  </si>
  <si>
    <t>Среднее показания прибора (Hi); приведенное значение прочности с учетом ур-ния градуировочной зависимости (Ri); среднее значение прочности (Rm); фактический класс бетона (Вф)/The average reading of the device (Hi); the given strength value taking into account the degree of calibration dependence (Ri); the average strength value (Rm); the actual concrete class (Bf)</t>
  </si>
  <si>
    <t>Поставщик  бетона:/Supplier of concrete:</t>
  </si>
  <si>
    <t>Коэффициент вариации прочности бетона конструкций, Vm:/Coefficient of variation in the strength of concrete structures, Vm:</t>
  </si>
  <si>
    <t>ГОСТ 18105-2018 "Бетоны. Правила контроля и оценки прочности"  ГОСТ 22690-2015 Бетоны. Определение прочности механическими методами неразрушающего контроля. ГОСТ 17624-2012 Бетоны. Ультразвуковой метод определения прочности (с Поправкой)/GOST 18105-2018 " Concrete. Rules for strength control and evaluation " GOST 22690-2015 Concrete. Determination of strength by mechanical methods of non-destructive testing. GOST 17624-2012 Concrete. Ultrasonic method for determining strength (Corrected)</t>
  </si>
  <si>
    <t>Дата последнего бетонирования/Date of concreting</t>
  </si>
  <si>
    <t>Акт на 1л 1 экз /Act on 1 page 1 copies</t>
  </si>
  <si>
    <t>Держакова В.В./Derzhakova V.V.</t>
  </si>
  <si>
    <t>С.Е.Трембовецкий/S.E. Trembovetsky</t>
  </si>
  <si>
    <t>Е.М.Пикула/E.M. Pikula</t>
  </si>
  <si>
    <t>Е.А.Борисов/E.A. Borisov</t>
  </si>
  <si>
    <t>Средн</t>
  </si>
  <si>
    <t>Выбраковка более 10%</t>
  </si>
  <si>
    <t>Козлов Е.Ю./Kozlov E.Yu.</t>
  </si>
  <si>
    <r>
      <rPr>
        <b/>
        <sz val="14"/>
        <color indexed="8"/>
        <rFont val="Times New Roman"/>
        <family val="1"/>
        <charset val="204"/>
      </rPr>
      <t>а</t>
    </r>
    <r>
      <rPr>
        <sz val="14"/>
        <color indexed="8"/>
        <rFont val="Times New Roman"/>
        <family val="1"/>
        <charset val="204"/>
      </rPr>
      <t xml:space="preserve">  (а</t>
    </r>
    <r>
      <rPr>
        <vertAlign val="subscript"/>
        <sz val="14"/>
        <color indexed="8"/>
        <rFont val="Times New Roman"/>
        <family val="1"/>
        <charset val="204"/>
      </rPr>
      <t>1</t>
    </r>
    <r>
      <rPr>
        <sz val="14"/>
        <color indexed="8"/>
        <rFont val="Times New Roman"/>
        <family val="1"/>
        <charset val="204"/>
      </rPr>
      <t>)</t>
    </r>
  </si>
  <si>
    <r>
      <rPr>
        <b/>
        <sz val="14"/>
        <color indexed="8"/>
        <rFont val="Times New Roman"/>
        <family val="1"/>
        <charset val="204"/>
      </rPr>
      <t>в</t>
    </r>
    <r>
      <rPr>
        <sz val="14"/>
        <color indexed="8"/>
        <rFont val="Times New Roman"/>
        <family val="1"/>
        <charset val="204"/>
      </rPr>
      <t xml:space="preserve">  (а</t>
    </r>
    <r>
      <rPr>
        <vertAlign val="subscript"/>
        <sz val="14"/>
        <color indexed="8"/>
        <rFont val="Times New Roman"/>
        <family val="1"/>
        <charset val="204"/>
      </rPr>
      <t>0</t>
    </r>
    <r>
      <rPr>
        <sz val="14"/>
        <color indexed="8"/>
        <rFont val="Times New Roman"/>
        <family val="1"/>
        <charset val="204"/>
      </rPr>
      <t>)</t>
    </r>
  </si>
  <si>
    <r>
      <t>Rm рм</t>
    </r>
    <r>
      <rPr>
        <vertAlign val="superscript"/>
        <sz val="14"/>
        <color indexed="8"/>
        <rFont val="Times New Roman"/>
        <family val="1"/>
        <charset val="204"/>
      </rPr>
      <t xml:space="preserve"> </t>
    </r>
  </si>
  <si>
    <r>
      <t>S</t>
    </r>
    <r>
      <rPr>
        <vertAlign val="subscript"/>
        <sz val="14"/>
        <color indexed="8"/>
        <rFont val="Times New Roman"/>
        <family val="1"/>
        <charset val="204"/>
      </rPr>
      <t>Т</t>
    </r>
    <r>
      <rPr>
        <sz val="14"/>
        <color indexed="8"/>
        <rFont val="Times New Roman"/>
        <family val="1"/>
        <charset val="204"/>
      </rPr>
      <t xml:space="preserve"> </t>
    </r>
  </si>
  <si>
    <t>B36,5</t>
  </si>
  <si>
    <t>Расчет произведен в соответствие с ГОСТ 18105-2018 схема В.</t>
  </si>
  <si>
    <t>К.С.Котенко/K.S. Kotenko</t>
  </si>
  <si>
    <t>и.о.Начальника строительной лаборатории/Acting Head of the Construction Laboratory</t>
  </si>
  <si>
    <t>Стаценко И.О./Statsenko I.O.</t>
  </si>
  <si>
    <t>Т.В.Храброва/T. V. Khrabrova</t>
  </si>
  <si>
    <t>Н.И.Тенякова/N. I. Tenyakova</t>
  </si>
  <si>
    <t>Вид испытаний: /Type of test:</t>
  </si>
  <si>
    <t>Проектный класс прочности бетона:/Вesign strength class of concrete:</t>
  </si>
  <si>
    <t>Объект строительства, конструкция:/                      The object of construction, design:</t>
  </si>
  <si>
    <t>НТД /Reference document</t>
  </si>
  <si>
    <t>Оборудование и приборы:/                             Equipment and devices:</t>
  </si>
  <si>
    <t>Испытаний и оценки прочности бетона/Testing and evaluation of concrete strength</t>
  </si>
  <si>
    <t>Испытательная строительная лаборатория Филиала AО "НИКИМТ" в Народной Республике Бангладеш</t>
  </si>
  <si>
    <t xml:space="preserve">The testing construction laboratory of the People's Republic of Bangladesh Branch office JSC "NIKIMT" </t>
  </si>
  <si>
    <t>Народная Республика Бангладеш, почтовый код 6622,Пабна,Ишварди,ПО Пакши, Площадка строительства АЭС "Руппур"/                                                                                            People's Republic of Bangladesh, postal code 6622, Pabna, Ishwardi, Pakshi, Ruppur NPP construction Site"</t>
  </si>
  <si>
    <t xml:space="preserve"> (п. 8.4 ГОСТ 18105-2018)</t>
  </si>
  <si>
    <t>Испытание провел главный специалист СЛ/The test was conducted by a Chief specialist of the CL</t>
  </si>
  <si>
    <t>Возраст сут/Age day</t>
  </si>
  <si>
    <t>Md. Rezaul Karim</t>
  </si>
  <si>
    <t>Прибор ультразвуковой УКС-МГ4С,  заводской номер № 928, Сертификат № 4020/V от 15.12.2020 до 14.12.2021г. / Ultrasonic device UKS-MG4C, factory number № 928, Certificate № 4020/V from 15.12.2020y. to 14.12.2021y.</t>
  </si>
  <si>
    <t xml:space="preserve">Свидетельство аккредитации № RU. MCC.АЛ.1057 от 24 августа 2020 г./Certificate of accreditation no. RU. MCC.SCARLET.1057 of 24 August 2020              </t>
  </si>
  <si>
    <t>от 21.01.2021</t>
  </si>
  <si>
    <t>Ласунов А.П/Lasunov A.P.</t>
  </si>
  <si>
    <t>RPR.0120.10UKC.0.KZ.LC0036. Вспомогательное реакторное здание(10UKC). Бетонирование контурных стен  в осях (1-0,900)-(1-0,400)/(C-12,600)-(C+5,600)  с отм. +4,750 до отм. +7,950./ Reactor auxiliary building(10UKC). Concreting boundary walls  in the axes (1-0,900)-(1-0,400)/(C-12,600)-(C+5,600) at elev.  +4,750 to elev.+7,950.</t>
  </si>
  <si>
    <t>В. Г. Петров/V. G. Petrov</t>
  </si>
  <si>
    <r>
      <t>Коэффициент К</t>
    </r>
    <r>
      <rPr>
        <i/>
        <sz val="10"/>
        <rFont val="Times New Roman"/>
        <family val="1"/>
        <charset val="204"/>
      </rPr>
      <t>Т</t>
    </r>
    <r>
      <rPr>
        <i/>
        <sz val="15"/>
        <rFont val="Times New Roman"/>
        <family val="1"/>
        <charset val="204"/>
      </rPr>
      <t>=</t>
    </r>
  </si>
  <si>
    <t>Дата бетонирования</t>
  </si>
  <si>
    <t>Дата испытания</t>
  </si>
  <si>
    <t>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</si>
</sst>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9" formatCode="0.0"/>
    <numFmt numFmtId="191" formatCode="#,##0.00_ ;\-#,##0.00\ "/>
    <numFmt numFmtId="193" formatCode="[$-FC19]dd\ mmmm\ yyyy\ \г\.;@"/>
    <numFmt numFmtId="194" formatCode="d/m;@"/>
    <numFmt numFmtId="196" formatCode="[$-F800]dddd\,\ mmmm\ dd\,\ yyyy"/>
    <numFmt numFmtId="199" formatCode="0.0000"/>
    <numFmt numFmtId="200" formatCode="0.000"/>
  </numFmts>
  <fonts count="91" x14ac:knownFonts="1">
    <font>
      <sz val="10"/>
      <name val="Arial"/>
    </font>
    <font>
      <sz val="10"/>
      <name val="Arial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 Narrow"/>
      <family val="2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8"/>
      <name val="Times New Roman"/>
      <family val="1"/>
      <charset val="204"/>
    </font>
    <font>
      <u/>
      <sz val="12"/>
      <color indexed="12"/>
      <name val="Times New Roman Cyr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Arial Cyr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6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0"/>
      <name val="Times New Roman Cyr"/>
      <family val="1"/>
      <charset val="204"/>
    </font>
    <font>
      <sz val="14"/>
      <name val="Arial Narrow"/>
      <family val="2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color indexed="17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10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vertAlign val="subscript"/>
      <sz val="8"/>
      <name val="Times New Roman"/>
      <family val="1"/>
      <charset val="204"/>
    </font>
    <font>
      <b/>
      <u/>
      <sz val="8"/>
      <color indexed="10"/>
      <name val="Tahoma"/>
      <family val="2"/>
      <charset val="204"/>
    </font>
    <font>
      <b/>
      <sz val="8"/>
      <color indexed="81"/>
      <name val="Times New Roman"/>
      <family val="1"/>
      <charset val="204"/>
    </font>
    <font>
      <sz val="8"/>
      <color indexed="81"/>
      <name val="Calibri"/>
      <family val="2"/>
      <charset val="204"/>
    </font>
    <font>
      <sz val="8"/>
      <color indexed="10"/>
      <name val="Tahoma"/>
      <family val="2"/>
      <charset val="204"/>
    </font>
    <font>
      <b/>
      <i/>
      <u/>
      <sz val="8"/>
      <color indexed="10"/>
      <name val="Tahoma"/>
      <family val="2"/>
      <charset val="204"/>
    </font>
    <font>
      <b/>
      <u/>
      <sz val="8"/>
      <color indexed="18"/>
      <name val="Tahoma"/>
      <family val="2"/>
      <charset val="204"/>
    </font>
    <font>
      <b/>
      <sz val="8"/>
      <color indexed="18"/>
      <name val="Tahoma"/>
      <family val="2"/>
      <charset val="204"/>
    </font>
    <font>
      <sz val="8"/>
      <color indexed="18"/>
      <name val="Tahoma"/>
      <family val="2"/>
      <charset val="204"/>
    </font>
    <font>
      <b/>
      <sz val="8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vertAlign val="subscript"/>
      <sz val="10"/>
      <color indexed="81"/>
      <name val="Times New Roman"/>
      <family val="1"/>
      <charset val="204"/>
    </font>
    <font>
      <sz val="10"/>
      <color indexed="81"/>
      <name val="Times New Roman"/>
      <family val="1"/>
      <charset val="204"/>
    </font>
    <font>
      <b/>
      <sz val="10"/>
      <color indexed="81"/>
      <name val="Times New Roman"/>
      <family val="1"/>
      <charset val="204"/>
    </font>
    <font>
      <b/>
      <sz val="10"/>
      <color indexed="81"/>
      <name val="Tahoma"/>
      <family val="2"/>
      <charset val="204"/>
    </font>
    <font>
      <sz val="6.8"/>
      <color indexed="81"/>
      <name val="Tahoma"/>
      <family val="2"/>
      <charset val="204"/>
    </font>
    <font>
      <b/>
      <vertAlign val="subscript"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b/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  <font>
      <i/>
      <sz val="6"/>
      <name val="Times New Roman"/>
      <family val="1"/>
      <charset val="204"/>
    </font>
    <font>
      <sz val="12"/>
      <name val="Arial"/>
      <family val="2"/>
      <charset val="204"/>
    </font>
    <font>
      <sz val="20"/>
      <name val="Arial"/>
      <family val="2"/>
      <charset val="204"/>
    </font>
    <font>
      <b/>
      <sz val="14"/>
      <color indexed="8"/>
      <name val="Times New Roman"/>
      <family val="1"/>
      <charset val="204"/>
    </font>
    <font>
      <sz val="12"/>
      <color indexed="10"/>
      <name val="Times New Roman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2"/>
      <charset val="204"/>
    </font>
    <font>
      <u/>
      <sz val="14"/>
      <color indexed="12"/>
      <name val="Times New Roman Cyr"/>
      <charset val="204"/>
    </font>
    <font>
      <i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6"/>
      <name val="Arial"/>
      <family val="2"/>
      <charset val="204"/>
    </font>
    <font>
      <b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sz val="20"/>
      <name val="Times New Roman"/>
      <family val="1"/>
      <charset val="204"/>
    </font>
    <font>
      <sz val="14"/>
      <name val="Arial"/>
      <family val="2"/>
      <charset val="204"/>
    </font>
    <font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sz val="18"/>
      <name val="Arial"/>
      <family val="2"/>
      <charset val="204"/>
    </font>
    <font>
      <sz val="8"/>
      <name val="Arial"/>
      <family val="2"/>
      <charset val="204"/>
    </font>
    <font>
      <sz val="14"/>
      <color indexed="8"/>
      <name val="Times New Roman"/>
      <family val="1"/>
      <charset val="204"/>
    </font>
    <font>
      <vertAlign val="subscript"/>
      <sz val="14"/>
      <color indexed="8"/>
      <name val="Times New Roman"/>
      <family val="1"/>
      <charset val="204"/>
    </font>
    <font>
      <vertAlign val="superscript"/>
      <sz val="14"/>
      <color indexed="8"/>
      <name val="Times New Roman"/>
      <family val="1"/>
      <charset val="204"/>
    </font>
    <font>
      <sz val="14"/>
      <name val="Times New Roman Cyr"/>
      <family val="1"/>
      <charset val="204"/>
    </font>
    <font>
      <b/>
      <i/>
      <sz val="18"/>
      <name val="Times New Roman"/>
      <family val="1"/>
      <charset val="204"/>
    </font>
    <font>
      <sz val="17"/>
      <name val="Times New Roman"/>
      <family val="1"/>
      <charset val="204"/>
    </font>
    <font>
      <sz val="15"/>
      <name val="Times New Roman Cyr"/>
      <charset val="204"/>
    </font>
    <font>
      <i/>
      <sz val="15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5"/>
      <name val="Arial"/>
      <family val="2"/>
      <charset val="204"/>
    </font>
    <font>
      <sz val="15"/>
      <name val="Times New Roman"/>
      <family val="1"/>
      <charset val="204"/>
    </font>
    <font>
      <i/>
      <sz val="15"/>
      <name val="Times New Roman Cyr"/>
      <charset val="204"/>
    </font>
    <font>
      <sz val="12"/>
      <color rgb="FFFF0000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20"/>
      <color theme="3" tint="0.59999389629810485"/>
      <name val="Arial"/>
      <family val="2"/>
      <charset val="204"/>
    </font>
    <font>
      <sz val="20"/>
      <color theme="3" tint="0.39997558519241921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2" fillId="0" borderId="0"/>
    <xf numFmtId="9" fontId="1" fillId="0" borderId="0" applyFont="0" applyFill="0" applyBorder="0" applyAlignment="0" applyProtection="0"/>
  </cellStyleXfs>
  <cellXfs count="348">
    <xf numFmtId="0" fontId="0" fillId="0" borderId="0" xfId="0"/>
    <xf numFmtId="49" fontId="6" fillId="0" borderId="0" xfId="0" applyNumberFormat="1" applyFont="1" applyFill="1" applyAlignment="1" applyProtection="1">
      <alignment horizontal="center" vertical="center" wrapText="1"/>
      <protection hidden="1"/>
    </xf>
    <xf numFmtId="2" fontId="6" fillId="0" borderId="0" xfId="0" applyNumberFormat="1" applyFont="1" applyFill="1" applyAlignment="1" applyProtection="1">
      <alignment horizontal="left" wrapText="1"/>
      <protection hidden="1"/>
    </xf>
    <xf numFmtId="0" fontId="0" fillId="2" borderId="0" xfId="0" applyFill="1"/>
    <xf numFmtId="0" fontId="19" fillId="2" borderId="0" xfId="0" applyNumberFormat="1" applyFont="1" applyFill="1" applyAlignment="1" applyProtection="1">
      <alignment horizontal="left" vertical="center"/>
      <protection locked="0"/>
    </xf>
    <xf numFmtId="2" fontId="1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NumberFormat="1" applyFont="1" applyFill="1" applyAlignment="1" applyProtection="1">
      <alignment horizontal="left" vertical="center"/>
      <protection locked="0"/>
    </xf>
    <xf numFmtId="49" fontId="1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Protection="1">
      <protection locked="0"/>
    </xf>
    <xf numFmtId="196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2" borderId="0" xfId="0" applyFill="1" applyProtection="1"/>
    <xf numFmtId="0" fontId="2" fillId="0" borderId="0" xfId="0" applyNumberFormat="1" applyFont="1" applyFill="1" applyAlignment="1" applyProtection="1">
      <alignment horizontal="center" vertical="center"/>
      <protection hidden="1"/>
    </xf>
    <xf numFmtId="0" fontId="13" fillId="0" borderId="0" xfId="0" applyNumberFormat="1" applyFont="1" applyFill="1" applyAlignment="1" applyProtection="1">
      <alignment horizontal="left" wrapText="1"/>
      <protection hidden="1"/>
    </xf>
    <xf numFmtId="0" fontId="10" fillId="0" borderId="0" xfId="0" applyNumberFormat="1" applyFont="1" applyFill="1" applyAlignment="1" applyProtection="1">
      <alignment horizontal="left" vertical="center"/>
      <protection hidden="1"/>
    </xf>
    <xf numFmtId="0" fontId="13" fillId="0" borderId="0" xfId="0" applyNumberFormat="1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5" fillId="0" borderId="0" xfId="0" applyNumberFormat="1" applyFont="1" applyFill="1" applyAlignment="1" applyProtection="1">
      <alignment horizontal="left" vertical="center"/>
      <protection hidden="1"/>
    </xf>
    <xf numFmtId="0" fontId="20" fillId="0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>
      <alignment wrapText="1"/>
    </xf>
    <xf numFmtId="0" fontId="0" fillId="2" borderId="0" xfId="0" applyFill="1" applyAlignment="1" applyProtection="1">
      <alignment wrapText="1"/>
      <protection locked="0"/>
    </xf>
    <xf numFmtId="0" fontId="0" fillId="0" borderId="0" xfId="0" applyAlignment="1">
      <alignment wrapText="1"/>
    </xf>
    <xf numFmtId="189" fontId="0" fillId="2" borderId="0" xfId="0" applyNumberFormat="1" applyFill="1" applyAlignment="1">
      <alignment wrapText="1"/>
    </xf>
    <xf numFmtId="191" fontId="0" fillId="2" borderId="0" xfId="0" applyNumberFormat="1" applyFill="1" applyAlignment="1">
      <alignment wrapText="1"/>
    </xf>
    <xf numFmtId="49" fontId="4" fillId="0" borderId="0" xfId="0" applyNumberFormat="1" applyFont="1" applyFill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15" fillId="2" borderId="0" xfId="0" applyFont="1" applyFill="1" applyAlignment="1" applyProtection="1">
      <alignment horizontal="center" wrapText="1"/>
    </xf>
    <xf numFmtId="189" fontId="0" fillId="2" borderId="0" xfId="0" applyNumberFormat="1" applyFill="1" applyProtection="1"/>
    <xf numFmtId="2" fontId="0" fillId="2" borderId="0" xfId="0" applyNumberFormat="1" applyFill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wrapText="1"/>
    </xf>
    <xf numFmtId="0" fontId="0" fillId="3" borderId="0" xfId="0" applyFill="1"/>
    <xf numFmtId="0" fontId="21" fillId="2" borderId="0" xfId="0" applyFont="1" applyFill="1"/>
    <xf numFmtId="0" fontId="48" fillId="0" borderId="0" xfId="3" applyFont="1" applyFill="1" applyBorder="1" applyAlignment="1" applyProtection="1">
      <alignment horizontal="center" vertical="center" wrapText="1"/>
      <protection hidden="1"/>
    </xf>
    <xf numFmtId="0" fontId="48" fillId="0" borderId="0" xfId="3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>
      <alignment wrapText="1"/>
    </xf>
    <xf numFmtId="0" fontId="9" fillId="0" borderId="0" xfId="1" applyFill="1" applyAlignment="1" applyProtection="1">
      <alignment horizontal="center" vertical="center"/>
      <protection hidden="1"/>
    </xf>
    <xf numFmtId="0" fontId="17" fillId="0" borderId="0" xfId="0" applyFont="1" applyFill="1" applyProtection="1">
      <protection locked="0"/>
    </xf>
    <xf numFmtId="0" fontId="17" fillId="0" borderId="0" xfId="0" applyFont="1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3" fillId="0" borderId="0" xfId="0" applyNumberFormat="1" applyFont="1" applyFill="1" applyAlignment="1" applyProtection="1">
      <alignment vertical="center" wrapText="1"/>
      <protection hidden="1"/>
    </xf>
    <xf numFmtId="0" fontId="21" fillId="0" borderId="0" xfId="0" applyFont="1" applyAlignment="1" applyProtection="1">
      <alignment vertical="center" wrapText="1"/>
      <protection hidden="1"/>
    </xf>
    <xf numFmtId="0" fontId="2" fillId="0" borderId="0" xfId="0" applyNumberFormat="1" applyFont="1" applyFill="1" applyAlignment="1" applyProtection="1">
      <alignment vertical="center" wrapText="1"/>
      <protection hidden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/>
      <protection hidden="1"/>
    </xf>
    <xf numFmtId="0" fontId="48" fillId="0" borderId="0" xfId="0" applyNumberFormat="1" applyFont="1" applyFill="1" applyAlignment="1" applyProtection="1">
      <alignment vertical="center"/>
      <protection hidden="1"/>
    </xf>
    <xf numFmtId="0" fontId="49" fillId="0" borderId="0" xfId="0" applyFont="1" applyAlignment="1" applyProtection="1">
      <alignment vertical="center"/>
      <protection hidden="1"/>
    </xf>
    <xf numFmtId="0" fontId="14" fillId="4" borderId="0" xfId="0" applyNumberFormat="1" applyFont="1" applyFill="1" applyBorder="1" applyAlignment="1" applyProtection="1">
      <alignment horizontal="center" vertical="top"/>
      <protection hidden="1"/>
    </xf>
    <xf numFmtId="0" fontId="51" fillId="0" borderId="0" xfId="0" applyNumberFormat="1" applyFont="1" applyFill="1" applyAlignment="1" applyProtection="1">
      <alignment vertical="top" wrapText="1"/>
      <protection hidden="1"/>
    </xf>
    <xf numFmtId="0" fontId="14" fillId="4" borderId="0" xfId="0" applyNumberFormat="1" applyFont="1" applyFill="1" applyBorder="1" applyAlignment="1" applyProtection="1">
      <alignment vertical="top"/>
      <protection hidden="1"/>
    </xf>
    <xf numFmtId="0" fontId="14" fillId="0" borderId="0" xfId="0" applyNumberFormat="1" applyFont="1" applyFill="1" applyBorder="1" applyAlignment="1" applyProtection="1">
      <alignment vertical="top" wrapText="1"/>
      <protection hidden="1"/>
    </xf>
    <xf numFmtId="0" fontId="26" fillId="0" borderId="0" xfId="0" applyNumberFormat="1" applyFont="1" applyFill="1" applyAlignment="1" applyProtection="1">
      <alignment vertical="center" wrapText="1"/>
      <protection hidden="1"/>
    </xf>
    <xf numFmtId="0" fontId="52" fillId="4" borderId="0" xfId="0" applyNumberFormat="1" applyFont="1" applyFill="1" applyBorder="1" applyAlignment="1" applyProtection="1">
      <alignment horizontal="left" vertical="center"/>
      <protection locked="0"/>
    </xf>
    <xf numFmtId="0" fontId="53" fillId="4" borderId="0" xfId="0" applyNumberFormat="1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 applyProtection="1"/>
    <xf numFmtId="0" fontId="11" fillId="0" borderId="0" xfId="0" applyNumberFormat="1" applyFont="1" applyFill="1" applyAlignment="1" applyProtection="1">
      <alignment horizontal="right" vertical="center"/>
      <protection hidden="1"/>
    </xf>
    <xf numFmtId="0" fontId="54" fillId="0" borderId="0" xfId="0" applyNumberFormat="1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/>
    <xf numFmtId="0" fontId="0" fillId="5" borderId="0" xfId="0" applyFill="1" applyAlignment="1">
      <alignment wrapText="1"/>
    </xf>
    <xf numFmtId="0" fontId="0" fillId="5" borderId="0" xfId="0" applyFill="1"/>
    <xf numFmtId="0" fontId="0" fillId="5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8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89" fontId="0" fillId="0" borderId="11" xfId="0" applyNumberFormat="1" applyFill="1" applyBorder="1" applyAlignment="1">
      <alignment horizontal="center"/>
    </xf>
    <xf numFmtId="189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89" fontId="0" fillId="0" borderId="11" xfId="0" applyNumberFormat="1" applyBorder="1" applyAlignment="1">
      <alignment horizontal="center" vertical="center"/>
    </xf>
    <xf numFmtId="189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9" fontId="0" fillId="0" borderId="5" xfId="0" applyNumberFormat="1" applyFill="1" applyBorder="1" applyAlignment="1">
      <alignment horizontal="center"/>
    </xf>
    <xf numFmtId="189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89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0" fontId="87" fillId="0" borderId="0" xfId="0" applyFont="1" applyAlignment="1">
      <alignment horizontal="center" vertical="center"/>
    </xf>
    <xf numFmtId="189" fontId="87" fillId="0" borderId="0" xfId="0" applyNumberFormat="1" applyFont="1" applyAlignment="1">
      <alignment horizontal="center" vertical="center"/>
    </xf>
    <xf numFmtId="189" fontId="6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 applyProtection="1">
      <alignment vertical="center" wrapText="1"/>
      <protection hidden="1"/>
    </xf>
    <xf numFmtId="0" fontId="6" fillId="0" borderId="0" xfId="0" applyFont="1" applyAlignment="1" applyProtection="1">
      <alignment vertical="center" wrapText="1"/>
      <protection hidden="1"/>
    </xf>
    <xf numFmtId="0" fontId="7" fillId="0" borderId="0" xfId="0" applyNumberFormat="1" applyFont="1" applyFill="1" applyBorder="1" applyAlignment="1" applyProtection="1">
      <alignment vertical="center" wrapText="1"/>
      <protection hidden="1"/>
    </xf>
    <xf numFmtId="0" fontId="61" fillId="0" borderId="0" xfId="1" applyFont="1" applyFill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48" fillId="0" borderId="0" xfId="3" applyFont="1" applyFill="1" applyBorder="1" applyAlignment="1" applyProtection="1">
      <alignment horizontal="distributed" vertical="top" wrapText="1"/>
      <protection hidden="1"/>
    </xf>
    <xf numFmtId="0" fontId="50" fillId="0" borderId="0" xfId="3" applyFont="1" applyFill="1" applyBorder="1" applyAlignment="1" applyProtection="1">
      <alignment horizontal="center" vertical="center" wrapText="1"/>
      <protection hidden="1"/>
    </xf>
    <xf numFmtId="0" fontId="48" fillId="0" borderId="0" xfId="3" applyNumberFormat="1" applyFont="1" applyFill="1" applyBorder="1" applyAlignment="1" applyProtection="1">
      <alignment horizontal="center" vertical="center" wrapText="1"/>
      <protection hidden="1"/>
    </xf>
    <xf numFmtId="0" fontId="17" fillId="2" borderId="0" xfId="0" applyFont="1" applyFill="1"/>
    <xf numFmtId="0" fontId="17" fillId="2" borderId="0" xfId="0" applyFont="1" applyFill="1" applyAlignment="1">
      <alignment horizontal="right"/>
    </xf>
    <xf numFmtId="0" fontId="0" fillId="7" borderId="0" xfId="0" applyFill="1" applyProtection="1">
      <protection locked="0"/>
    </xf>
    <xf numFmtId="0" fontId="0" fillId="2" borderId="0" xfId="0" applyFill="1" applyBorder="1" applyProtection="1"/>
    <xf numFmtId="0" fontId="0" fillId="2" borderId="0" xfId="0" applyFill="1" applyBorder="1"/>
    <xf numFmtId="189" fontId="0" fillId="2" borderId="0" xfId="0" applyNumberFormat="1" applyFill="1"/>
    <xf numFmtId="0" fontId="63" fillId="0" borderId="1" xfId="3" applyFont="1" applyFill="1" applyBorder="1" applyAlignment="1" applyProtection="1">
      <alignment horizontal="center" vertical="center" wrapText="1"/>
      <protection hidden="1"/>
    </xf>
    <xf numFmtId="189" fontId="63" fillId="0" borderId="1" xfId="3" applyNumberFormat="1" applyFont="1" applyFill="1" applyBorder="1" applyAlignment="1" applyProtection="1">
      <alignment horizontal="center" vertical="center" wrapText="1"/>
      <protection hidden="1"/>
    </xf>
    <xf numFmtId="0" fontId="68" fillId="0" borderId="0" xfId="0" applyNumberFormat="1" applyFont="1" applyFill="1" applyAlignment="1" applyProtection="1">
      <alignment vertical="center"/>
      <protection hidden="1"/>
    </xf>
    <xf numFmtId="0" fontId="66" fillId="0" borderId="0" xfId="0" applyFont="1" applyAlignment="1" applyProtection="1">
      <alignment vertical="center"/>
      <protection hidden="1"/>
    </xf>
    <xf numFmtId="0" fontId="64" fillId="0" borderId="1" xfId="3" applyFont="1" applyFill="1" applyBorder="1" applyAlignment="1" applyProtection="1">
      <alignment horizontal="center" vertical="center" wrapText="1"/>
      <protection hidden="1"/>
    </xf>
    <xf numFmtId="0" fontId="66" fillId="8" borderId="0" xfId="0" applyFont="1" applyFill="1" applyProtection="1"/>
    <xf numFmtId="0" fontId="73" fillId="8" borderId="0" xfId="0" applyFont="1" applyFill="1" applyProtection="1"/>
    <xf numFmtId="0" fontId="70" fillId="9" borderId="0" xfId="0" applyFont="1" applyFill="1"/>
    <xf numFmtId="0" fontId="66" fillId="2" borderId="0" xfId="0" applyFont="1" applyFill="1"/>
    <xf numFmtId="0" fontId="66" fillId="2" borderId="0" xfId="0" applyFont="1" applyFill="1" applyProtection="1"/>
    <xf numFmtId="189" fontId="64" fillId="0" borderId="1" xfId="3" applyNumberFormat="1" applyFont="1" applyFill="1" applyBorder="1" applyAlignment="1" applyProtection="1">
      <alignment horizontal="center" vertical="center" wrapText="1"/>
      <protection hidden="1"/>
    </xf>
    <xf numFmtId="0" fontId="64" fillId="0" borderId="18" xfId="3" applyFont="1" applyFill="1" applyBorder="1" applyAlignment="1" applyProtection="1">
      <alignment horizontal="center" vertical="center" wrapText="1"/>
      <protection hidden="1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Protection="1">
      <protection locked="0"/>
    </xf>
    <xf numFmtId="0" fontId="0" fillId="10" borderId="0" xfId="0" applyFill="1" applyProtection="1">
      <protection locked="0"/>
    </xf>
    <xf numFmtId="199" fontId="0" fillId="2" borderId="0" xfId="0" applyNumberFormat="1" applyFill="1" applyProtection="1"/>
    <xf numFmtId="1" fontId="26" fillId="0" borderId="19" xfId="3" applyNumberFormat="1" applyFont="1" applyFill="1" applyBorder="1" applyAlignment="1" applyProtection="1">
      <alignment vertical="center" wrapText="1"/>
      <protection hidden="1"/>
    </xf>
    <xf numFmtId="1" fontId="26" fillId="0" borderId="20" xfId="3" applyNumberFormat="1" applyFont="1" applyFill="1" applyBorder="1" applyAlignment="1" applyProtection="1">
      <alignment vertical="center" wrapText="1"/>
      <protection hidden="1"/>
    </xf>
    <xf numFmtId="0" fontId="2" fillId="12" borderId="1" xfId="3" applyFont="1" applyFill="1" applyBorder="1" applyAlignment="1" applyProtection="1">
      <alignment horizontal="center" vertical="center" wrapText="1"/>
      <protection hidden="1"/>
    </xf>
    <xf numFmtId="0" fontId="66" fillId="0" borderId="0" xfId="0" applyFont="1" applyBorder="1" applyAlignment="1">
      <alignment vertical="center" wrapText="1"/>
    </xf>
    <xf numFmtId="0" fontId="0" fillId="13" borderId="0" xfId="0" applyFill="1" applyProtection="1"/>
    <xf numFmtId="0" fontId="2" fillId="14" borderId="0" xfId="0" applyFont="1" applyFill="1" applyAlignment="1">
      <alignment horizontal="center"/>
    </xf>
    <xf numFmtId="0" fontId="0" fillId="14" borderId="0" xfId="0" applyFill="1" applyProtection="1"/>
    <xf numFmtId="0" fontId="2" fillId="15" borderId="0" xfId="0" applyFont="1" applyFill="1" applyAlignment="1">
      <alignment horizontal="center"/>
    </xf>
    <xf numFmtId="0" fontId="0" fillId="5" borderId="0" xfId="0" applyFill="1" applyProtection="1"/>
    <xf numFmtId="0" fontId="0" fillId="16" borderId="0" xfId="0" applyFill="1"/>
    <xf numFmtId="0" fontId="2" fillId="16" borderId="1" xfId="3" applyFont="1" applyFill="1" applyBorder="1" applyAlignment="1" applyProtection="1">
      <alignment horizontal="center" vertical="center" wrapText="1"/>
      <protection hidden="1"/>
    </xf>
    <xf numFmtId="0" fontId="2" fillId="17" borderId="0" xfId="0" applyFont="1" applyFill="1" applyAlignment="1">
      <alignment horizontal="center"/>
    </xf>
    <xf numFmtId="0" fontId="48" fillId="0" borderId="0" xfId="3" applyFont="1" applyFill="1" applyBorder="1" applyAlignment="1" applyProtection="1">
      <alignment vertical="top"/>
      <protection hidden="1"/>
    </xf>
    <xf numFmtId="0" fontId="63" fillId="0" borderId="18" xfId="3" applyFont="1" applyFill="1" applyBorder="1" applyAlignment="1" applyProtection="1">
      <alignment horizontal="center" vertical="center" wrapText="1"/>
      <protection hidden="1"/>
    </xf>
    <xf numFmtId="1" fontId="63" fillId="0" borderId="18" xfId="3" applyNumberFormat="1" applyFont="1" applyFill="1" applyBorder="1" applyAlignment="1" applyProtection="1">
      <alignment horizontal="center" vertical="center" wrapText="1"/>
      <protection hidden="1"/>
    </xf>
    <xf numFmtId="1" fontId="63" fillId="0" borderId="1" xfId="3" applyNumberFormat="1" applyFont="1" applyFill="1" applyBorder="1" applyAlignment="1" applyProtection="1">
      <alignment horizontal="center" vertical="center" wrapText="1"/>
      <protection hidden="1"/>
    </xf>
    <xf numFmtId="1" fontId="64" fillId="0" borderId="1" xfId="3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>
      <alignment wrapText="1"/>
    </xf>
    <xf numFmtId="194" fontId="0" fillId="2" borderId="0" xfId="0" applyNumberFormat="1" applyFill="1" applyAlignment="1" applyProtection="1"/>
    <xf numFmtId="0" fontId="70" fillId="8" borderId="1" xfId="0" applyFont="1" applyFill="1" applyBorder="1" applyProtection="1"/>
    <xf numFmtId="189" fontId="70" fillId="2" borderId="1" xfId="0" applyNumberFormat="1" applyFont="1" applyFill="1" applyBorder="1" applyAlignment="1">
      <alignment horizontal="center"/>
    </xf>
    <xf numFmtId="0" fontId="55" fillId="10" borderId="0" xfId="0" applyFont="1" applyFill="1" applyAlignment="1" applyProtection="1">
      <alignment vertical="center"/>
    </xf>
    <xf numFmtId="0" fontId="55" fillId="8" borderId="1" xfId="0" applyFont="1" applyFill="1" applyBorder="1" applyAlignment="1" applyProtection="1">
      <alignment vertical="center"/>
    </xf>
    <xf numFmtId="0" fontId="70" fillId="7" borderId="1" xfId="0" applyFont="1" applyFill="1" applyBorder="1" applyAlignment="1">
      <alignment horizontal="center" vertical="center"/>
    </xf>
    <xf numFmtId="0" fontId="64" fillId="7" borderId="1" xfId="3" applyFont="1" applyFill="1" applyBorder="1" applyAlignment="1" applyProtection="1">
      <alignment horizontal="center" vertical="center" wrapText="1"/>
      <protection hidden="1"/>
    </xf>
    <xf numFmtId="0" fontId="64" fillId="7" borderId="18" xfId="3" applyFont="1" applyFill="1" applyBorder="1" applyAlignment="1" applyProtection="1">
      <alignment horizontal="center" vertical="center" wrapText="1"/>
      <protection hidden="1"/>
    </xf>
    <xf numFmtId="0" fontId="64" fillId="18" borderId="1" xfId="3" applyFont="1" applyFill="1" applyBorder="1" applyAlignment="1" applyProtection="1">
      <alignment horizontal="center" vertical="center" wrapText="1"/>
      <protection hidden="1"/>
    </xf>
    <xf numFmtId="0" fontId="64" fillId="18" borderId="18" xfId="3" applyFont="1" applyFill="1" applyBorder="1" applyAlignment="1" applyProtection="1">
      <alignment horizontal="center" vertical="center" wrapText="1"/>
      <protection hidden="1"/>
    </xf>
    <xf numFmtId="0" fontId="64" fillId="10" borderId="1" xfId="3" applyFont="1" applyFill="1" applyBorder="1" applyAlignment="1" applyProtection="1">
      <alignment horizontal="center" vertical="center" wrapText="1"/>
      <protection hidden="1"/>
    </xf>
    <xf numFmtId="0" fontId="64" fillId="12" borderId="1" xfId="3" applyFont="1" applyFill="1" applyBorder="1" applyAlignment="1" applyProtection="1">
      <alignment horizontal="center" vertical="center" wrapText="1"/>
      <protection hidden="1"/>
    </xf>
    <xf numFmtId="1" fontId="0" fillId="2" borderId="0" xfId="0" applyNumberFormat="1" applyFill="1"/>
    <xf numFmtId="0" fontId="75" fillId="0" borderId="21" xfId="0" applyFont="1" applyFill="1" applyBorder="1" applyAlignment="1" applyProtection="1">
      <alignment horizontal="center" vertical="center"/>
      <protection hidden="1"/>
    </xf>
    <xf numFmtId="0" fontId="63" fillId="0" borderId="1" xfId="0" applyFont="1" applyFill="1" applyBorder="1" applyAlignment="1" applyProtection="1">
      <alignment horizontal="center" vertical="center"/>
      <protection hidden="1"/>
    </xf>
    <xf numFmtId="0" fontId="75" fillId="0" borderId="22" xfId="0" applyFont="1" applyFill="1" applyBorder="1" applyAlignment="1" applyProtection="1">
      <alignment horizontal="center" vertical="center"/>
      <protection hidden="1"/>
    </xf>
    <xf numFmtId="0" fontId="63" fillId="0" borderId="18" xfId="0" applyFont="1" applyFill="1" applyBorder="1" applyAlignment="1" applyProtection="1">
      <alignment horizontal="center" vertical="center"/>
      <protection hidden="1"/>
    </xf>
    <xf numFmtId="2" fontId="63" fillId="0" borderId="18" xfId="0" applyNumberFormat="1" applyFont="1" applyFill="1" applyBorder="1" applyAlignment="1" applyProtection="1">
      <alignment horizontal="center" vertical="center"/>
      <protection hidden="1"/>
    </xf>
    <xf numFmtId="189" fontId="63" fillId="0" borderId="18" xfId="0" applyNumberFormat="1" applyFont="1" applyFill="1" applyBorder="1" applyAlignment="1" applyProtection="1">
      <alignment horizontal="center" vertical="center"/>
      <protection hidden="1"/>
    </xf>
    <xf numFmtId="49" fontId="7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8" fillId="2" borderId="0" xfId="0" applyNumberFormat="1" applyFont="1" applyFill="1" applyBorder="1" applyAlignment="1" applyProtection="1">
      <alignment horizontal="center" vertical="center"/>
      <protection locked="0"/>
    </xf>
    <xf numFmtId="0" fontId="78" fillId="2" borderId="0" xfId="0" applyNumberFormat="1" applyFont="1" applyFill="1" applyBorder="1" applyAlignment="1" applyProtection="1">
      <alignment horizontal="center" vertical="center"/>
      <protection locked="0"/>
    </xf>
    <xf numFmtId="0" fontId="70" fillId="7" borderId="0" xfId="0" applyFont="1" applyFill="1" applyAlignment="1" applyProtection="1">
      <alignment wrapText="1"/>
    </xf>
    <xf numFmtId="0" fontId="64" fillId="19" borderId="1" xfId="3" applyFont="1" applyFill="1" applyBorder="1" applyAlignment="1" applyProtection="1">
      <alignment horizontal="center" vertical="center" wrapText="1"/>
      <protection hidden="1"/>
    </xf>
    <xf numFmtId="0" fontId="64" fillId="19" borderId="18" xfId="3" applyFont="1" applyFill="1" applyBorder="1" applyAlignment="1" applyProtection="1">
      <alignment horizontal="center" vertical="center" wrapText="1"/>
      <protection hidden="1"/>
    </xf>
    <xf numFmtId="0" fontId="73" fillId="20" borderId="22" xfId="0" applyFont="1" applyFill="1" applyBorder="1" applyAlignment="1" applyProtection="1">
      <alignment horizontal="center" vertical="center"/>
    </xf>
    <xf numFmtId="0" fontId="73" fillId="20" borderId="23" xfId="0" applyFont="1" applyFill="1" applyBorder="1" applyAlignment="1" applyProtection="1">
      <alignment horizontal="center" vertical="center"/>
    </xf>
    <xf numFmtId="0" fontId="17" fillId="0" borderId="0" xfId="0" applyFont="1" applyAlignment="1"/>
    <xf numFmtId="0" fontId="17" fillId="0" borderId="0" xfId="2"/>
    <xf numFmtId="0" fontId="5" fillId="21" borderId="0" xfId="2" applyNumberFormat="1" applyFont="1" applyFill="1" applyAlignment="1" applyProtection="1">
      <alignment horizontal="left" vertical="center"/>
    </xf>
    <xf numFmtId="1" fontId="62" fillId="0" borderId="1" xfId="3" applyNumberFormat="1" applyFont="1" applyFill="1" applyBorder="1" applyAlignment="1" applyProtection="1">
      <alignment horizontal="center" vertical="center" wrapText="1"/>
      <protection locked="0"/>
    </xf>
    <xf numFmtId="1" fontId="62" fillId="0" borderId="18" xfId="3" applyNumberFormat="1" applyFont="1" applyFill="1" applyBorder="1" applyAlignment="1" applyProtection="1">
      <alignment horizontal="center" vertical="center" wrapText="1"/>
      <protection hidden="1"/>
    </xf>
    <xf numFmtId="0" fontId="71" fillId="0" borderId="0" xfId="0" applyFont="1" applyAlignment="1"/>
    <xf numFmtId="0" fontId="65" fillId="0" borderId="0" xfId="0" applyNumberFormat="1" applyFont="1" applyFill="1" applyBorder="1" applyAlignment="1" applyProtection="1">
      <alignment vertical="center" wrapText="1"/>
      <protection hidden="1"/>
    </xf>
    <xf numFmtId="0" fontId="66" fillId="0" borderId="0" xfId="0" applyFont="1" applyAlignment="1"/>
    <xf numFmtId="0" fontId="82" fillId="0" borderId="0" xfId="0" applyNumberFormat="1" applyFont="1" applyFill="1" applyBorder="1" applyAlignment="1" applyProtection="1">
      <alignment horizontal="left" vertical="top"/>
      <protection hidden="1"/>
    </xf>
    <xf numFmtId="0" fontId="84" fillId="0" borderId="0" xfId="0" applyFont="1" applyAlignment="1">
      <alignment wrapText="1"/>
    </xf>
    <xf numFmtId="193" fontId="82" fillId="0" borderId="0" xfId="3" applyNumberFormat="1" applyFont="1" applyFill="1" applyBorder="1" applyAlignment="1" applyProtection="1">
      <alignment vertical="center"/>
      <protection hidden="1"/>
    </xf>
    <xf numFmtId="0" fontId="82" fillId="0" borderId="0" xfId="0" applyNumberFormat="1" applyFont="1" applyFill="1" applyAlignment="1" applyProtection="1">
      <alignment horizontal="left" vertical="top"/>
      <protection hidden="1"/>
    </xf>
    <xf numFmtId="0" fontId="82" fillId="0" borderId="0" xfId="0" applyNumberFormat="1" applyFont="1" applyFill="1" applyBorder="1" applyAlignment="1" applyProtection="1">
      <alignment horizontal="right" vertical="center"/>
      <protection hidden="1"/>
    </xf>
    <xf numFmtId="193" fontId="82" fillId="0" borderId="0" xfId="3" applyNumberFormat="1" applyFont="1" applyFill="1" applyBorder="1" applyAlignment="1" applyProtection="1">
      <alignment horizontal="left" vertical="center"/>
      <protection hidden="1"/>
    </xf>
    <xf numFmtId="0" fontId="84" fillId="0" borderId="0" xfId="0" applyFont="1" applyBorder="1" applyAlignment="1">
      <alignment wrapText="1"/>
    </xf>
    <xf numFmtId="0" fontId="82" fillId="0" borderId="0" xfId="0" applyNumberFormat="1" applyFont="1" applyFill="1" applyBorder="1" applyAlignment="1" applyProtection="1">
      <alignment horizontal="left" vertical="center"/>
      <protection hidden="1"/>
    </xf>
    <xf numFmtId="0" fontId="82" fillId="0" borderId="0" xfId="0" applyFont="1" applyAlignment="1">
      <alignment wrapText="1"/>
    </xf>
    <xf numFmtId="0" fontId="82" fillId="0" borderId="0" xfId="0" applyNumberFormat="1" applyFont="1" applyFill="1" applyBorder="1" applyAlignment="1" applyProtection="1">
      <alignment vertical="center"/>
      <protection hidden="1"/>
    </xf>
    <xf numFmtId="0" fontId="82" fillId="4" borderId="0" xfId="0" applyNumberFormat="1" applyFont="1" applyFill="1" applyBorder="1" applyAlignment="1" applyProtection="1">
      <alignment vertical="top"/>
      <protection hidden="1"/>
    </xf>
    <xf numFmtId="0" fontId="85" fillId="0" borderId="0" xfId="3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>
      <alignment horizontal="center" wrapText="1"/>
    </xf>
    <xf numFmtId="199" fontId="63" fillId="0" borderId="18" xfId="0" applyNumberFormat="1" applyFont="1" applyFill="1" applyBorder="1" applyAlignment="1" applyProtection="1">
      <alignment horizontal="center" vertical="center"/>
      <protection hidden="1"/>
    </xf>
    <xf numFmtId="1" fontId="63" fillId="0" borderId="24" xfId="3" applyNumberFormat="1" applyFont="1" applyFill="1" applyBorder="1" applyAlignment="1" applyProtection="1">
      <alignment horizontal="center" vertical="center" wrapText="1"/>
      <protection hidden="1"/>
    </xf>
    <xf numFmtId="189" fontId="63" fillId="0" borderId="24" xfId="3" applyNumberFormat="1" applyFont="1" applyFill="1" applyBorder="1" applyAlignment="1" applyProtection="1">
      <alignment horizontal="center" vertical="center" wrapText="1"/>
      <protection hidden="1"/>
    </xf>
    <xf numFmtId="0" fontId="63" fillId="0" borderId="24" xfId="3" applyFont="1" applyFill="1" applyBorder="1" applyAlignment="1" applyProtection="1">
      <alignment horizontal="center" vertical="center" wrapText="1"/>
      <protection hidden="1"/>
    </xf>
    <xf numFmtId="0" fontId="71" fillId="0" borderId="0" xfId="0" applyNumberFormat="1" applyFont="1" applyFill="1" applyBorder="1" applyAlignment="1" applyProtection="1">
      <alignment vertical="center"/>
      <protection hidden="1"/>
    </xf>
    <xf numFmtId="49" fontId="26" fillId="2" borderId="25" xfId="3" applyNumberFormat="1" applyFont="1" applyFill="1" applyBorder="1" applyAlignment="1" applyProtection="1">
      <alignment horizontal="center" vertical="center" wrapText="1"/>
      <protection hidden="1"/>
    </xf>
    <xf numFmtId="0" fontId="26" fillId="2" borderId="25" xfId="3" applyFont="1" applyFill="1" applyBorder="1" applyAlignment="1" applyProtection="1">
      <alignment horizontal="center" vertical="center" wrapText="1"/>
      <protection hidden="1"/>
    </xf>
    <xf numFmtId="0" fontId="48" fillId="2" borderId="19" xfId="3" applyFont="1" applyFill="1" applyBorder="1" applyAlignment="1" applyProtection="1">
      <alignment vertical="center" wrapText="1"/>
      <protection hidden="1"/>
    </xf>
    <xf numFmtId="189" fontId="63" fillId="0" borderId="22" xfId="3" applyNumberFormat="1" applyFont="1" applyFill="1" applyBorder="1" applyAlignment="1" applyProtection="1">
      <alignment horizontal="center" vertical="center" wrapText="1"/>
      <protection hidden="1"/>
    </xf>
    <xf numFmtId="189" fontId="63" fillId="0" borderId="21" xfId="3" applyNumberFormat="1" applyFont="1" applyFill="1" applyBorder="1" applyAlignment="1" applyProtection="1">
      <alignment horizontal="center" vertical="center" wrapText="1"/>
      <protection hidden="1"/>
    </xf>
    <xf numFmtId="189" fontId="63" fillId="0" borderId="26" xfId="3" applyNumberFormat="1" applyFont="1" applyFill="1" applyBorder="1" applyAlignment="1" applyProtection="1">
      <alignment horizontal="center" vertical="center" wrapText="1"/>
      <protection hidden="1"/>
    </xf>
    <xf numFmtId="0" fontId="48" fillId="2" borderId="19" xfId="3" applyFont="1" applyFill="1" applyBorder="1" applyAlignment="1" applyProtection="1">
      <alignment horizontal="center" vertical="center" wrapText="1"/>
      <protection hidden="1"/>
    </xf>
    <xf numFmtId="0" fontId="67" fillId="0" borderId="1" xfId="3" applyFont="1" applyFill="1" applyBorder="1" applyAlignment="1" applyProtection="1">
      <alignment horizontal="center" vertical="center" wrapText="1"/>
      <protection hidden="1"/>
    </xf>
    <xf numFmtId="0" fontId="79" fillId="0" borderId="1" xfId="0" applyNumberFormat="1" applyFont="1" applyFill="1" applyBorder="1" applyAlignment="1" applyProtection="1">
      <alignment vertical="center"/>
      <protection hidden="1"/>
    </xf>
    <xf numFmtId="0" fontId="65" fillId="0" borderId="1" xfId="3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>
      <alignment wrapText="1"/>
    </xf>
    <xf numFmtId="0" fontId="67" fillId="0" borderId="24" xfId="3" applyFont="1" applyFill="1" applyBorder="1" applyAlignment="1" applyProtection="1">
      <alignment horizontal="center" vertical="center" wrapText="1"/>
      <protection hidden="1"/>
    </xf>
    <xf numFmtId="0" fontId="26" fillId="2" borderId="27" xfId="3" applyFont="1" applyFill="1" applyBorder="1" applyAlignment="1" applyProtection="1">
      <alignment horizontal="center" vertical="center" wrapText="1"/>
      <protection hidden="1"/>
    </xf>
    <xf numFmtId="1" fontId="26" fillId="0" borderId="25" xfId="3" applyNumberFormat="1" applyFont="1" applyFill="1" applyBorder="1" applyAlignment="1" applyProtection="1">
      <alignment vertical="center" wrapText="1"/>
      <protection hidden="1"/>
    </xf>
    <xf numFmtId="0" fontId="26" fillId="0" borderId="25" xfId="3" applyFont="1" applyFill="1" applyBorder="1" applyAlignment="1" applyProtection="1">
      <alignment horizontal="center" vertical="center" wrapText="1"/>
      <protection hidden="1"/>
    </xf>
    <xf numFmtId="0" fontId="48" fillId="0" borderId="0" xfId="0" applyFont="1" applyBorder="1" applyAlignment="1">
      <alignment vertical="center" wrapText="1"/>
    </xf>
    <xf numFmtId="0" fontId="48" fillId="0" borderId="0" xfId="0" applyFont="1" applyFill="1" applyBorder="1" applyAlignment="1">
      <alignment vertical="center" wrapText="1"/>
    </xf>
    <xf numFmtId="0" fontId="17" fillId="22" borderId="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vertical="center" wrapText="1"/>
    </xf>
    <xf numFmtId="0" fontId="48" fillId="0" borderId="28" xfId="3" applyFont="1" applyFill="1" applyBorder="1" applyAlignment="1" applyProtection="1">
      <alignment vertical="center" wrapText="1"/>
      <protection hidden="1"/>
    </xf>
    <xf numFmtId="0" fontId="62" fillId="0" borderId="19" xfId="0" applyNumberFormat="1" applyFont="1" applyFill="1" applyBorder="1" applyAlignment="1" applyProtection="1">
      <alignment horizontal="left" vertical="center"/>
      <protection hidden="1"/>
    </xf>
    <xf numFmtId="0" fontId="74" fillId="22" borderId="19" xfId="0" applyFont="1" applyFill="1" applyBorder="1" applyAlignment="1">
      <alignment horizontal="center" vertical="center" wrapText="1"/>
    </xf>
    <xf numFmtId="0" fontId="48" fillId="0" borderId="19" xfId="0" applyFont="1" applyBorder="1" applyAlignment="1">
      <alignment wrapText="1"/>
    </xf>
    <xf numFmtId="0" fontId="26" fillId="0" borderId="29" xfId="0" applyFont="1" applyBorder="1" applyAlignment="1">
      <alignment vertical="center" wrapText="1"/>
    </xf>
    <xf numFmtId="0" fontId="48" fillId="0" borderId="30" xfId="3" applyFont="1" applyFill="1" applyBorder="1" applyAlignment="1" applyProtection="1">
      <alignment vertical="center" wrapText="1"/>
      <protection hidden="1"/>
    </xf>
    <xf numFmtId="0" fontId="48" fillId="2" borderId="30" xfId="3" applyFont="1" applyFill="1" applyBorder="1" applyAlignment="1" applyProtection="1">
      <alignment vertical="center" wrapText="1"/>
      <protection hidden="1"/>
    </xf>
    <xf numFmtId="0" fontId="48" fillId="0" borderId="20" xfId="0" applyFont="1" applyBorder="1" applyAlignment="1">
      <alignment vertical="center" wrapText="1"/>
    </xf>
    <xf numFmtId="0" fontId="89" fillId="23" borderId="0" xfId="0" applyFont="1" applyFill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10" fontId="88" fillId="0" borderId="30" xfId="4" applyNumberFormat="1" applyFont="1" applyBorder="1" applyAlignment="1">
      <alignment horizontal="center" vertical="top"/>
    </xf>
    <xf numFmtId="10" fontId="88" fillId="0" borderId="28" xfId="4" applyNumberFormat="1" applyFont="1" applyBorder="1" applyAlignment="1">
      <alignment horizontal="center" vertical="top"/>
    </xf>
    <xf numFmtId="0" fontId="57" fillId="0" borderId="0" xfId="0" applyFont="1" applyAlignment="1">
      <alignment horizontal="left" vertical="center"/>
    </xf>
    <xf numFmtId="0" fontId="58" fillId="6" borderId="8" xfId="0" applyFont="1" applyFill="1" applyBorder="1" applyAlignment="1">
      <alignment horizontal="center" vertical="center" wrapText="1"/>
    </xf>
    <xf numFmtId="0" fontId="58" fillId="6" borderId="33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200" fontId="0" fillId="0" borderId="31" xfId="0" applyNumberFormat="1" applyBorder="1" applyAlignment="1">
      <alignment horizontal="center" vertical="top"/>
    </xf>
    <xf numFmtId="200" fontId="0" fillId="0" borderId="32" xfId="0" applyNumberFormat="1" applyBorder="1" applyAlignment="1">
      <alignment horizontal="center" vertical="top"/>
    </xf>
    <xf numFmtId="2" fontId="0" fillId="0" borderId="33" xfId="0" applyNumberFormat="1" applyBorder="1" applyAlignment="1">
      <alignment horizontal="center" vertical="top"/>
    </xf>
    <xf numFmtId="2" fontId="0" fillId="0" borderId="7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56" fillId="2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70" fillId="2" borderId="0" xfId="0" applyFont="1" applyFill="1" applyAlignment="1">
      <alignment wrapText="1"/>
    </xf>
    <xf numFmtId="0" fontId="70" fillId="0" borderId="0" xfId="0" applyFont="1" applyAlignment="1">
      <alignment wrapText="1"/>
    </xf>
    <xf numFmtId="0" fontId="90" fillId="23" borderId="0" xfId="0" applyFont="1" applyFill="1" applyAlignment="1">
      <alignment horizontal="center" vertical="center" wrapText="1"/>
    </xf>
    <xf numFmtId="0" fontId="56" fillId="12" borderId="0" xfId="0" applyFont="1" applyFill="1" applyAlignment="1" applyProtection="1">
      <alignment horizontal="center" vertical="top" wrapText="1"/>
      <protection locked="0"/>
    </xf>
    <xf numFmtId="49" fontId="56" fillId="0" borderId="0" xfId="0" applyNumberFormat="1" applyFont="1" applyFill="1" applyAlignment="1" applyProtection="1">
      <alignment horizontal="center" vertical="center"/>
      <protection locked="0"/>
    </xf>
    <xf numFmtId="0" fontId="55" fillId="8" borderId="0" xfId="0" applyFont="1" applyFill="1" applyAlignment="1" applyProtection="1">
      <alignment horizontal="center" vertical="center" wrapText="1"/>
    </xf>
    <xf numFmtId="0" fontId="66" fillId="7" borderId="0" xfId="0" applyFont="1" applyFill="1" applyAlignment="1" applyProtection="1">
      <alignment horizontal="center" vertical="top" wrapText="1"/>
      <protection locked="0"/>
    </xf>
    <xf numFmtId="0" fontId="66" fillId="18" borderId="0" xfId="0" applyFont="1" applyFill="1" applyAlignment="1" applyProtection="1">
      <alignment horizontal="center" vertical="top" wrapText="1"/>
    </xf>
    <xf numFmtId="0" fontId="66" fillId="10" borderId="0" xfId="0" applyFont="1" applyFill="1" applyAlignment="1" applyProtection="1">
      <alignment horizontal="center" vertical="top" wrapText="1"/>
    </xf>
    <xf numFmtId="0" fontId="56" fillId="19" borderId="0" xfId="0" applyFont="1" applyFill="1" applyAlignment="1" applyProtection="1">
      <alignment horizontal="center" vertical="top" wrapText="1"/>
      <protection locked="0"/>
    </xf>
    <xf numFmtId="0" fontId="81" fillId="0" borderId="18" xfId="0" applyFont="1" applyBorder="1" applyAlignment="1">
      <alignment horizontal="center" vertical="center" wrapText="1"/>
    </xf>
    <xf numFmtId="0" fontId="81" fillId="0" borderId="11" xfId="0" applyFont="1" applyBorder="1" applyAlignment="1">
      <alignment horizontal="center" vertical="center" wrapText="1"/>
    </xf>
    <xf numFmtId="0" fontId="81" fillId="0" borderId="25" xfId="0" applyFont="1" applyBorder="1" applyAlignment="1">
      <alignment horizontal="center" vertical="center" wrapText="1"/>
    </xf>
    <xf numFmtId="0" fontId="81" fillId="0" borderId="18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0" fontId="81" fillId="0" borderId="25" xfId="0" applyFont="1" applyBorder="1" applyAlignment="1">
      <alignment horizontal="center" vertical="center"/>
    </xf>
    <xf numFmtId="0" fontId="64" fillId="0" borderId="25" xfId="3" applyFont="1" applyFill="1" applyBorder="1" applyAlignment="1" applyProtection="1">
      <alignment horizontal="center" vertical="center" wrapText="1"/>
      <protection hidden="1"/>
    </xf>
    <xf numFmtId="0" fontId="64" fillId="0" borderId="1" xfId="3" applyFont="1" applyFill="1" applyBorder="1" applyAlignment="1" applyProtection="1">
      <alignment horizontal="center" vertical="center" wrapText="1"/>
      <protection hidden="1"/>
    </xf>
    <xf numFmtId="0" fontId="64" fillId="0" borderId="24" xfId="3" applyFont="1" applyFill="1" applyBorder="1" applyAlignment="1" applyProtection="1">
      <alignment horizontal="center" vertical="center" wrapText="1"/>
      <protection hidden="1"/>
    </xf>
    <xf numFmtId="0" fontId="67" fillId="0" borderId="29" xfId="3" applyFont="1" applyFill="1" applyBorder="1" applyAlignment="1" applyProtection="1">
      <alignment horizontal="center" vertical="center" wrapText="1"/>
      <protection hidden="1"/>
    </xf>
    <xf numFmtId="0" fontId="67" fillId="0" borderId="32" xfId="3" applyFont="1" applyFill="1" applyBorder="1" applyAlignment="1" applyProtection="1">
      <alignment horizontal="center" vertical="center" wrapText="1"/>
      <protection hidden="1"/>
    </xf>
    <xf numFmtId="0" fontId="86" fillId="0" borderId="0" xfId="0" applyFont="1" applyBorder="1" applyAlignment="1">
      <alignment horizontal="center" vertical="center" wrapText="1"/>
    </xf>
    <xf numFmtId="0" fontId="48" fillId="2" borderId="30" xfId="3" applyFont="1" applyFill="1" applyBorder="1" applyAlignment="1" applyProtection="1">
      <alignment horizontal="center" vertical="center" wrapText="1"/>
      <protection hidden="1"/>
    </xf>
    <xf numFmtId="0" fontId="3" fillId="2" borderId="19" xfId="3" applyFont="1" applyFill="1" applyBorder="1" applyAlignment="1" applyProtection="1">
      <alignment horizontal="center" vertical="center" wrapText="1"/>
      <protection hidden="1"/>
    </xf>
    <xf numFmtId="0" fontId="3" fillId="2" borderId="0" xfId="3" applyFont="1" applyFill="1" applyBorder="1" applyAlignment="1" applyProtection="1">
      <alignment horizontal="center" vertical="center" wrapText="1"/>
      <protection hidden="1"/>
    </xf>
    <xf numFmtId="0" fontId="48" fillId="2" borderId="19" xfId="3" applyFont="1" applyFill="1" applyBorder="1" applyAlignment="1" applyProtection="1">
      <alignment horizontal="center" vertical="center" wrapText="1"/>
      <protection hidden="1"/>
    </xf>
    <xf numFmtId="0" fontId="63" fillId="2" borderId="25" xfId="3" applyFont="1" applyFill="1" applyBorder="1" applyAlignment="1" applyProtection="1">
      <alignment horizontal="center" vertical="center" wrapText="1"/>
      <protection hidden="1"/>
    </xf>
    <xf numFmtId="0" fontId="63" fillId="2" borderId="1" xfId="3" applyFont="1" applyFill="1" applyBorder="1" applyAlignment="1" applyProtection="1">
      <alignment horizontal="center" vertical="center" wrapText="1"/>
      <protection hidden="1"/>
    </xf>
    <xf numFmtId="0" fontId="63" fillId="2" borderId="24" xfId="3" applyFont="1" applyFill="1" applyBorder="1" applyAlignment="1" applyProtection="1">
      <alignment horizontal="center" vertical="center" wrapText="1"/>
      <protection hidden="1"/>
    </xf>
    <xf numFmtId="0" fontId="48" fillId="0" borderId="30" xfId="3" applyFont="1" applyFill="1" applyBorder="1" applyAlignment="1" applyProtection="1">
      <alignment vertical="center" wrapText="1"/>
      <protection hidden="1"/>
    </xf>
    <xf numFmtId="0" fontId="64" fillId="0" borderId="19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1" fontId="64" fillId="0" borderId="19" xfId="3" applyNumberFormat="1" applyFont="1" applyFill="1" applyBorder="1" applyAlignment="1" applyProtection="1">
      <alignment horizontal="center" vertical="center" wrapText="1"/>
      <protection hidden="1"/>
    </xf>
    <xf numFmtId="0" fontId="48" fillId="0" borderId="30" xfId="3" applyFont="1" applyFill="1" applyBorder="1" applyAlignment="1" applyProtection="1">
      <alignment horizontal="center" vertical="center" wrapText="1"/>
      <protection hidden="1"/>
    </xf>
    <xf numFmtId="0" fontId="63" fillId="22" borderId="25" xfId="3" applyFont="1" applyFill="1" applyBorder="1" applyAlignment="1" applyProtection="1">
      <alignment horizontal="center" vertical="center" wrapText="1"/>
      <protection hidden="1"/>
    </xf>
    <xf numFmtId="0" fontId="63" fillId="22" borderId="1" xfId="3" applyFont="1" applyFill="1" applyBorder="1" applyAlignment="1" applyProtection="1">
      <alignment horizontal="center" vertical="center" wrapText="1"/>
      <protection hidden="1"/>
    </xf>
    <xf numFmtId="0" fontId="63" fillId="22" borderId="24" xfId="3" applyFont="1" applyFill="1" applyBorder="1" applyAlignment="1" applyProtection="1">
      <alignment horizontal="center" vertical="center" wrapText="1"/>
      <protection hidden="1"/>
    </xf>
    <xf numFmtId="0" fontId="85" fillId="2" borderId="25" xfId="3" applyFont="1" applyFill="1" applyBorder="1" applyAlignment="1" applyProtection="1">
      <alignment horizontal="center" vertical="center" wrapText="1"/>
      <protection hidden="1"/>
    </xf>
    <xf numFmtId="0" fontId="84" fillId="0" borderId="1" xfId="0" applyFont="1" applyBorder="1" applyAlignment="1">
      <alignment horizontal="center" vertical="center" wrapText="1"/>
    </xf>
    <xf numFmtId="0" fontId="84" fillId="0" borderId="24" xfId="0" applyFont="1" applyBorder="1" applyAlignment="1">
      <alignment horizontal="center" vertical="center" wrapText="1"/>
    </xf>
    <xf numFmtId="0" fontId="84" fillId="0" borderId="2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93" fontId="82" fillId="0" borderId="0" xfId="3" applyNumberFormat="1" applyFont="1" applyFill="1" applyBorder="1" applyAlignment="1" applyProtection="1">
      <alignment horizontal="right"/>
      <protection hidden="1"/>
    </xf>
    <xf numFmtId="0" fontId="82" fillId="0" borderId="0" xfId="0" applyFont="1" applyAlignment="1">
      <alignment horizontal="left" wrapText="1"/>
    </xf>
    <xf numFmtId="0" fontId="48" fillId="2" borderId="40" xfId="3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3" fillId="2" borderId="43" xfId="3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Alignment="1">
      <alignment horizontal="center" vertical="center" wrapText="1"/>
    </xf>
    <xf numFmtId="0" fontId="48" fillId="2" borderId="43" xfId="3" applyFont="1" applyFill="1" applyBorder="1" applyAlignment="1" applyProtection="1">
      <alignment horizontal="center" vertical="center" wrapText="1"/>
      <protection hidden="1"/>
    </xf>
    <xf numFmtId="0" fontId="85" fillId="2" borderId="44" xfId="3" applyFont="1" applyFill="1" applyBorder="1" applyAlignment="1" applyProtection="1">
      <alignment horizontal="center" vertical="center" wrapText="1"/>
      <protection hidden="1"/>
    </xf>
    <xf numFmtId="0" fontId="84" fillId="0" borderId="9" xfId="0" applyFont="1" applyBorder="1" applyAlignment="1">
      <alignment horizontal="center" vertical="center" wrapText="1"/>
    </xf>
    <xf numFmtId="0" fontId="84" fillId="0" borderId="37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 wrapText="1"/>
    </xf>
    <xf numFmtId="0" fontId="84" fillId="0" borderId="31" xfId="0" applyFont="1" applyBorder="1" applyAlignment="1">
      <alignment horizontal="center" vertical="center" wrapText="1"/>
    </xf>
    <xf numFmtId="0" fontId="84" fillId="0" borderId="45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0" fontId="84" fillId="0" borderId="46" xfId="0" applyFont="1" applyBorder="1" applyAlignment="1">
      <alignment horizontal="center" vertical="center" wrapText="1"/>
    </xf>
    <xf numFmtId="0" fontId="8" fillId="0" borderId="38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0" fontId="71" fillId="0" borderId="0" xfId="0" applyFont="1" applyAlignment="1" applyProtection="1">
      <alignment horizontal="center" vertical="center" wrapText="1"/>
      <protection hidden="1"/>
    </xf>
    <xf numFmtId="0" fontId="71" fillId="0" borderId="0" xfId="0" applyFont="1" applyAlignment="1">
      <alignment vertical="center"/>
    </xf>
    <xf numFmtId="0" fontId="82" fillId="0" borderId="0" xfId="0" applyFont="1" applyAlignment="1">
      <alignment horizontal="left" vertical="center" wrapText="1"/>
    </xf>
    <xf numFmtId="0" fontId="71" fillId="0" borderId="0" xfId="0" applyFont="1" applyAlignment="1">
      <alignment vertical="center" wrapText="1"/>
    </xf>
    <xf numFmtId="0" fontId="82" fillId="0" borderId="0" xfId="0" applyNumberFormat="1" applyFont="1" applyFill="1" applyBorder="1" applyAlignment="1" applyProtection="1">
      <alignment horizontal="left" vertical="center" wrapText="1"/>
      <protection hidden="1"/>
    </xf>
    <xf numFmtId="0" fontId="0" fillId="4" borderId="0" xfId="0" applyFill="1" applyAlignment="1"/>
    <xf numFmtId="0" fontId="10" fillId="0" borderId="38" xfId="0" applyFont="1" applyFill="1" applyBorder="1" applyAlignment="1" applyProtection="1">
      <alignment horizontal="center" vertical="center" wrapText="1"/>
    </xf>
    <xf numFmtId="0" fontId="26" fillId="0" borderId="38" xfId="0" applyFont="1" applyFill="1" applyBorder="1" applyAlignment="1" applyProtection="1">
      <alignment horizontal="left" vertical="center"/>
    </xf>
    <xf numFmtId="0" fontId="26" fillId="0" borderId="38" xfId="0" applyFont="1" applyFill="1" applyBorder="1" applyAlignment="1" applyProtection="1">
      <alignment horizontal="center" vertical="center"/>
    </xf>
    <xf numFmtId="0" fontId="63" fillId="0" borderId="18" xfId="0" applyFont="1" applyBorder="1" applyAlignment="1" applyProtection="1">
      <alignment horizontal="center" vertical="center" wrapText="1"/>
      <protection hidden="1"/>
    </xf>
    <xf numFmtId="0" fontId="63" fillId="0" borderId="11" xfId="0" applyFont="1" applyBorder="1" applyAlignment="1" applyProtection="1">
      <alignment horizontal="center" vertical="center" wrapText="1"/>
      <protection hidden="1"/>
    </xf>
    <xf numFmtId="0" fontId="63" fillId="0" borderId="25" xfId="0" applyFont="1" applyBorder="1" applyAlignment="1" applyProtection="1">
      <alignment horizontal="center" vertical="center" wrapText="1"/>
      <protection hidden="1"/>
    </xf>
    <xf numFmtId="0" fontId="65" fillId="0" borderId="0" xfId="0" applyNumberFormat="1" applyFont="1" applyFill="1" applyAlignment="1" applyProtection="1">
      <alignment horizontal="center" vertical="center"/>
      <protection hidden="1"/>
    </xf>
    <xf numFmtId="0" fontId="65" fillId="0" borderId="39" xfId="0" applyNumberFormat="1" applyFont="1" applyFill="1" applyBorder="1" applyAlignment="1" applyProtection="1">
      <alignment horizontal="center" vertical="center"/>
      <protection hidden="1"/>
    </xf>
    <xf numFmtId="0" fontId="72" fillId="0" borderId="0" xfId="0" applyNumberFormat="1" applyFont="1" applyFill="1" applyAlignment="1" applyProtection="1">
      <alignment vertical="center" wrapText="1"/>
      <protection hidden="1"/>
    </xf>
    <xf numFmtId="0" fontId="82" fillId="0" borderId="0" xfId="0" applyFont="1" applyAlignment="1" applyProtection="1">
      <alignment horizontal="left" vertical="center" wrapText="1"/>
      <protection hidden="1"/>
    </xf>
    <xf numFmtId="0" fontId="71" fillId="0" borderId="0" xfId="0" applyNumberFormat="1" applyFont="1" applyFill="1" applyAlignment="1" applyProtection="1">
      <alignment vertical="center" wrapText="1"/>
      <protection hidden="1"/>
    </xf>
    <xf numFmtId="0" fontId="83" fillId="0" borderId="0" xfId="0" applyFont="1" applyAlignment="1" applyProtection="1">
      <alignment horizontal="left" vertical="center" wrapText="1"/>
      <protection hidden="1"/>
    </xf>
    <xf numFmtId="0" fontId="4" fillId="2" borderId="0" xfId="0" applyFont="1" applyFill="1" applyAlignment="1">
      <alignment horizontal="center"/>
    </xf>
    <xf numFmtId="49" fontId="69" fillId="4" borderId="29" xfId="0" applyNumberFormat="1" applyFont="1" applyFill="1" applyBorder="1" applyAlignment="1" applyProtection="1">
      <alignment horizontal="center" vertical="center"/>
      <protection hidden="1"/>
    </xf>
    <xf numFmtId="49" fontId="69" fillId="4" borderId="0" xfId="0" applyNumberFormat="1" applyFont="1" applyFill="1" applyAlignment="1" applyProtection="1">
      <alignment horizontal="center" vertical="center"/>
      <protection hidden="1"/>
    </xf>
    <xf numFmtId="0" fontId="80" fillId="0" borderId="0" xfId="0" applyNumberFormat="1" applyFont="1" applyFill="1" applyAlignment="1" applyProtection="1">
      <alignment horizontal="center" vertical="center" wrapText="1"/>
      <protection hidden="1"/>
    </xf>
    <xf numFmtId="0" fontId="64" fillId="0" borderId="0" xfId="0" applyNumberFormat="1" applyFont="1" applyFill="1" applyAlignment="1" applyProtection="1">
      <alignment horizontal="center" vertical="center" wrapText="1"/>
      <protection hidden="1"/>
    </xf>
  </cellXfs>
  <cellStyles count="5">
    <cellStyle name="Гиперссылка" xfId="1" builtinId="8"/>
    <cellStyle name="Обычный" xfId="0" builtinId="0"/>
    <cellStyle name="Обычный 2" xfId="2"/>
    <cellStyle name="Обычный_Стат_обработка_ZZ" xfId="3"/>
    <cellStyle name="Процентный" xfId="4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3541257189711"/>
          <c:y val="5.0351563197457462E-2"/>
          <c:w val="0.77630102133098611"/>
          <c:h val="0.783774126341300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trendline>
            <c:spPr>
              <a:ln w="28575"/>
            </c:spPr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-0.13785294117647065"/>
                  <c:y val="-0.29021961909933675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  <a:ln w="25400" cap="flat" cmpd="sng" algn="ctr">
                  <a:solidFill>
                    <a:schemeClr val="dk1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xVal>
            <c:numRef>
              <c:f>'[2]Град.зависимост НИКИМТ 24.12.19'!$B$13:$B$38</c:f>
              <c:numCache>
                <c:formatCode>General</c:formatCode>
                <c:ptCount val="26"/>
                <c:pt idx="0">
                  <c:v>45</c:v>
                </c:pt>
                <c:pt idx="1">
                  <c:v>46.1</c:v>
                </c:pt>
                <c:pt idx="2">
                  <c:v>46.1</c:v>
                </c:pt>
                <c:pt idx="3">
                  <c:v>42.6</c:v>
                </c:pt>
                <c:pt idx="4">
                  <c:v>42.1</c:v>
                </c:pt>
                <c:pt idx="5">
                  <c:v>52</c:v>
                </c:pt>
                <c:pt idx="6">
                  <c:v>44.5</c:v>
                </c:pt>
                <c:pt idx="7">
                  <c:v>47.2</c:v>
                </c:pt>
                <c:pt idx="8">
                  <c:v>48.7</c:v>
                </c:pt>
                <c:pt idx="9">
                  <c:v>39.5</c:v>
                </c:pt>
                <c:pt idx="10">
                  <c:v>47.6</c:v>
                </c:pt>
                <c:pt idx="11">
                  <c:v>49.6</c:v>
                </c:pt>
                <c:pt idx="12">
                  <c:v>46.3</c:v>
                </c:pt>
                <c:pt idx="13">
                  <c:v>47.3</c:v>
                </c:pt>
                <c:pt idx="14">
                  <c:v>47.1</c:v>
                </c:pt>
                <c:pt idx="15">
                  <c:v>47.2</c:v>
                </c:pt>
                <c:pt idx="16">
                  <c:v>40.5</c:v>
                </c:pt>
                <c:pt idx="17">
                  <c:v>43.9</c:v>
                </c:pt>
                <c:pt idx="18">
                  <c:v>48.6</c:v>
                </c:pt>
                <c:pt idx="19">
                  <c:v>39</c:v>
                </c:pt>
                <c:pt idx="20">
                  <c:v>43.6</c:v>
                </c:pt>
                <c:pt idx="21">
                  <c:v>49.8</c:v>
                </c:pt>
                <c:pt idx="22">
                  <c:v>46.7</c:v>
                </c:pt>
                <c:pt idx="23">
                  <c:v>44.3</c:v>
                </c:pt>
                <c:pt idx="24">
                  <c:v>49.8</c:v>
                </c:pt>
                <c:pt idx="25">
                  <c:v>46.8</c:v>
                </c:pt>
              </c:numCache>
            </c:numRef>
          </c:xVal>
          <c:yVal>
            <c:numRef>
              <c:f>'[2]Град.зависимост НИКИМТ 24.12.19'!$C$13:$C$38</c:f>
              <c:numCache>
                <c:formatCode>General</c:formatCode>
                <c:ptCount val="26"/>
                <c:pt idx="0">
                  <c:v>57.546734693877546</c:v>
                </c:pt>
                <c:pt idx="1">
                  <c:v>57.447857142857139</c:v>
                </c:pt>
                <c:pt idx="2">
                  <c:v>57.744489795918369</c:v>
                </c:pt>
                <c:pt idx="3">
                  <c:v>48.1</c:v>
                </c:pt>
                <c:pt idx="4">
                  <c:v>47.9</c:v>
                </c:pt>
                <c:pt idx="5">
                  <c:v>59.029897959183671</c:v>
                </c:pt>
                <c:pt idx="6">
                  <c:v>55.272551020408159</c:v>
                </c:pt>
                <c:pt idx="7">
                  <c:v>55.173673469387751</c:v>
                </c:pt>
                <c:pt idx="8">
                  <c:v>54.086020408163257</c:v>
                </c:pt>
                <c:pt idx="9">
                  <c:v>43.4</c:v>
                </c:pt>
                <c:pt idx="10">
                  <c:v>54.580408163265304</c:v>
                </c:pt>
                <c:pt idx="11">
                  <c:v>55.569183673469382</c:v>
                </c:pt>
                <c:pt idx="12">
                  <c:v>56.360204081632652</c:v>
                </c:pt>
                <c:pt idx="13">
                  <c:v>52.701734693877547</c:v>
                </c:pt>
                <c:pt idx="14">
                  <c:v>53.49275510204081</c:v>
                </c:pt>
                <c:pt idx="15">
                  <c:v>49.339897959183673</c:v>
                </c:pt>
                <c:pt idx="16">
                  <c:v>42.4</c:v>
                </c:pt>
                <c:pt idx="17">
                  <c:v>49.241020408163266</c:v>
                </c:pt>
                <c:pt idx="18">
                  <c:v>51.317448979591838</c:v>
                </c:pt>
                <c:pt idx="19">
                  <c:v>42.3</c:v>
                </c:pt>
                <c:pt idx="20">
                  <c:v>47.3</c:v>
                </c:pt>
                <c:pt idx="21">
                  <c:v>53.591632653061218</c:v>
                </c:pt>
                <c:pt idx="22">
                  <c:v>58.832142857142856</c:v>
                </c:pt>
                <c:pt idx="23">
                  <c:v>55.371428571428574</c:v>
                </c:pt>
                <c:pt idx="24">
                  <c:v>60.216428571428573</c:v>
                </c:pt>
                <c:pt idx="25">
                  <c:v>59.227653061224487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4-485F-8A9A-14318E87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65128"/>
        <c:axId val="1"/>
      </c:scatterChart>
      <c:valAx>
        <c:axId val="354265128"/>
        <c:scaling>
          <c:orientation val="minMax"/>
          <c:max val="60"/>
          <c:min val="20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Показание прибора, Нi</a:t>
                </a:r>
              </a:p>
            </c:rich>
          </c:tx>
          <c:layout>
            <c:manualLayout>
              <c:xMode val="edge"/>
              <c:yMode val="edge"/>
              <c:x val="0.41174677165354334"/>
              <c:y val="0.931696944348469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6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Прочность бетона, полученная методом сжатия образцов-кубов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, МПа</a:t>
                </a:r>
              </a:p>
            </c:rich>
          </c:tx>
          <c:layout>
            <c:manualLayout>
              <c:xMode val="edge"/>
              <c:yMode val="edge"/>
              <c:x val="0"/>
              <c:y val="5.03515120656107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354265128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10" dropStyle="combo" dx="22" fmlaLink="$AW$1" fmlaRange="$AW$2:$AW$15" noThreeD="1" sel="9" val="4"/>
</file>

<file path=xl/ctrlProps/ctrlProp2.xml><?xml version="1.0" encoding="utf-8"?>
<formControlPr xmlns="http://schemas.microsoft.com/office/spreadsheetml/2009/9/main" objectType="Drop" dropLines="5" dropStyle="combo" dx="22" fmlaLink="$AG$1" fmlaRange="$AF$24:$AF$30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38</xdr:row>
      <xdr:rowOff>190500</xdr:rowOff>
    </xdr:from>
    <xdr:to>
      <xdr:col>10</xdr:col>
      <xdr:colOff>104775</xdr:colOff>
      <xdr:row>61</xdr:row>
      <xdr:rowOff>66675</xdr:rowOff>
    </xdr:to>
    <xdr:graphicFrame macro="">
      <xdr:nvGraphicFramePr>
        <xdr:cNvPr id="3722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81</xdr:row>
          <xdr:rowOff>257175</xdr:rowOff>
        </xdr:from>
        <xdr:to>
          <xdr:col>6</xdr:col>
          <xdr:colOff>57150</xdr:colOff>
          <xdr:row>83</xdr:row>
          <xdr:rowOff>0</xdr:rowOff>
        </xdr:to>
        <xdr:sp macro="" textlink="">
          <xdr:nvSpPr>
            <xdr:cNvPr id="278532" name="Drop Down 4" hidden="1">
              <a:extLst>
                <a:ext uri="{63B3BB69-23CF-44E3-9099-C40C66FF867C}">
                  <a14:compatExt spid="_x0000_s278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83</xdr:row>
          <xdr:rowOff>361950</xdr:rowOff>
        </xdr:from>
        <xdr:to>
          <xdr:col>5</xdr:col>
          <xdr:colOff>180975</xdr:colOff>
          <xdr:row>85</xdr:row>
          <xdr:rowOff>333375</xdr:rowOff>
        </xdr:to>
        <xdr:sp macro="" textlink="">
          <xdr:nvSpPr>
            <xdr:cNvPr id="278533" name="Drop Down 5" hidden="1">
              <a:extLst>
                <a:ext uri="{63B3BB69-23CF-44E3-9099-C40C66FF867C}">
                  <a14:compatExt spid="_x0000_s278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1</xdr:col>
      <xdr:colOff>352425</xdr:colOff>
      <xdr:row>5</xdr:row>
      <xdr:rowOff>190500</xdr:rowOff>
    </xdr:from>
    <xdr:to>
      <xdr:col>6</xdr:col>
      <xdr:colOff>247650</xdr:colOff>
      <xdr:row>11</xdr:row>
      <xdr:rowOff>0</xdr:rowOff>
    </xdr:to>
    <xdr:pic>
      <xdr:nvPicPr>
        <xdr:cNvPr id="278807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962025"/>
          <a:ext cx="38100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%20&#1082;&#1091;&#1073;&#10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cenkoio/Desktop/&#1043;&#1088;&#1072;&#1076;%20&#1053;&#1048;&#1050;&#1048;&#1052;&#1058;%2018.04.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ONCRETE"/>
    </sheetNames>
    <sheetDataSet>
      <sheetData sheetId="0"/>
      <sheetData sheetId="1">
        <row r="83">
          <cell r="V83">
            <v>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д.зависимост НИКИМТ 24.12.19"/>
      <sheetName val="Град.зависимост НИКИМТ 24.1 (2"/>
      <sheetName val="Прочност бетона"/>
      <sheetName val="Град.зависимость В20"/>
      <sheetName val="Прочность бетона"/>
    </sheetNames>
    <sheetDataSet>
      <sheetData sheetId="0">
        <row r="13">
          <cell r="B13">
            <v>45</v>
          </cell>
          <cell r="C13">
            <v>57.546734693877546</v>
          </cell>
        </row>
        <row r="14">
          <cell r="B14">
            <v>46.1</v>
          </cell>
          <cell r="C14">
            <v>57.447857142857139</v>
          </cell>
        </row>
        <row r="15">
          <cell r="B15">
            <v>46.1</v>
          </cell>
          <cell r="C15">
            <v>57.744489795918369</v>
          </cell>
        </row>
        <row r="16">
          <cell r="B16">
            <v>42.6</v>
          </cell>
          <cell r="C16">
            <v>48.1</v>
          </cell>
        </row>
        <row r="17">
          <cell r="B17">
            <v>42.1</v>
          </cell>
          <cell r="C17">
            <v>47.9</v>
          </cell>
        </row>
        <row r="18">
          <cell r="B18">
            <v>52</v>
          </cell>
          <cell r="C18">
            <v>59.029897959183671</v>
          </cell>
        </row>
        <row r="19">
          <cell r="B19">
            <v>44.5</v>
          </cell>
          <cell r="C19">
            <v>55.272551020408159</v>
          </cell>
        </row>
        <row r="20">
          <cell r="B20">
            <v>47.2</v>
          </cell>
          <cell r="C20">
            <v>55.173673469387751</v>
          </cell>
        </row>
        <row r="21">
          <cell r="B21">
            <v>48.7</v>
          </cell>
          <cell r="C21">
            <v>54.086020408163257</v>
          </cell>
        </row>
        <row r="22">
          <cell r="B22">
            <v>39.5</v>
          </cell>
          <cell r="C22">
            <v>43.4</v>
          </cell>
        </row>
        <row r="23">
          <cell r="B23">
            <v>47.6</v>
          </cell>
          <cell r="C23">
            <v>54.580408163265304</v>
          </cell>
        </row>
        <row r="24">
          <cell r="B24">
            <v>49.6</v>
          </cell>
          <cell r="C24">
            <v>55.569183673469382</v>
          </cell>
        </row>
        <row r="25">
          <cell r="B25">
            <v>46.3</v>
          </cell>
          <cell r="C25">
            <v>56.360204081632652</v>
          </cell>
        </row>
        <row r="26">
          <cell r="B26">
            <v>47.3</v>
          </cell>
          <cell r="C26">
            <v>52.701734693877547</v>
          </cell>
        </row>
        <row r="27">
          <cell r="B27">
            <v>47.1</v>
          </cell>
          <cell r="C27">
            <v>53.49275510204081</v>
          </cell>
        </row>
        <row r="28">
          <cell r="B28">
            <v>47.2</v>
          </cell>
          <cell r="C28">
            <v>49.339897959183673</v>
          </cell>
        </row>
        <row r="29">
          <cell r="B29">
            <v>40.5</v>
          </cell>
          <cell r="C29">
            <v>42.4</v>
          </cell>
        </row>
        <row r="30">
          <cell r="B30">
            <v>43.9</v>
          </cell>
          <cell r="C30">
            <v>49.241020408163266</v>
          </cell>
        </row>
        <row r="31">
          <cell r="B31">
            <v>48.6</v>
          </cell>
          <cell r="C31">
            <v>51.317448979591838</v>
          </cell>
        </row>
        <row r="32">
          <cell r="B32">
            <v>39</v>
          </cell>
          <cell r="C32">
            <v>42.3</v>
          </cell>
        </row>
        <row r="33">
          <cell r="B33">
            <v>43.6</v>
          </cell>
          <cell r="C33">
            <v>47.3</v>
          </cell>
        </row>
        <row r="34">
          <cell r="B34">
            <v>49.8</v>
          </cell>
          <cell r="C34">
            <v>53.591632653061218</v>
          </cell>
        </row>
        <row r="35">
          <cell r="B35">
            <v>46.7</v>
          </cell>
          <cell r="C35">
            <v>58.832142857142856</v>
          </cell>
        </row>
        <row r="36">
          <cell r="B36">
            <v>44.3</v>
          </cell>
          <cell r="C36">
            <v>55.371428571428574</v>
          </cell>
        </row>
        <row r="37">
          <cell r="B37">
            <v>49.8</v>
          </cell>
          <cell r="C37">
            <v>60.216428571428573</v>
          </cell>
        </row>
        <row r="38">
          <cell r="B38">
            <v>46.8</v>
          </cell>
          <cell r="C38">
            <v>59.227653061224487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Z87"/>
  <sheetViews>
    <sheetView topLeftCell="A13" workbookViewId="0">
      <selection activeCell="L41" sqref="L41"/>
    </sheetView>
  </sheetViews>
  <sheetFormatPr defaultRowHeight="12.75" x14ac:dyDescent="0.2"/>
  <sheetData>
    <row r="1" spans="1:26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W1" s="69"/>
      <c r="X1" s="69"/>
      <c r="Y1" s="69"/>
      <c r="Z1" s="69"/>
    </row>
    <row r="2" spans="1:26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W2" s="69"/>
      <c r="X2" s="69"/>
      <c r="Y2" s="69"/>
      <c r="Z2" s="69"/>
    </row>
    <row r="3" spans="1:26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W3" s="69"/>
      <c r="X3" s="69"/>
      <c r="Y3" s="69"/>
      <c r="Z3" s="69"/>
    </row>
    <row r="4" spans="1:26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W4" s="69"/>
      <c r="X4" s="69"/>
      <c r="Y4" s="69"/>
      <c r="Z4" s="69"/>
    </row>
    <row r="5" spans="1:26" x14ac:dyDescent="0.2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W5" s="69"/>
      <c r="X5" s="69"/>
      <c r="Y5" s="69"/>
      <c r="Z5" s="69"/>
    </row>
    <row r="6" spans="1:26" x14ac:dyDescent="0.2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W6" s="69"/>
      <c r="X6" s="69"/>
      <c r="Y6" s="69"/>
      <c r="Z6" s="69"/>
    </row>
    <row r="7" spans="1:26" ht="18.75" x14ac:dyDescent="0.2">
      <c r="A7" s="249" t="s">
        <v>75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69"/>
      <c r="Q7" s="69"/>
      <c r="R7" s="69"/>
      <c r="S7" s="69"/>
      <c r="T7" s="69"/>
      <c r="U7" s="69"/>
      <c r="W7" s="69"/>
      <c r="X7" s="69"/>
      <c r="Y7" s="69"/>
      <c r="Z7" s="69"/>
    </row>
    <row r="8" spans="1:26" ht="18.75" x14ac:dyDescent="0.2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69"/>
      <c r="Q8" s="69"/>
      <c r="R8" s="69"/>
      <c r="S8" s="69"/>
      <c r="T8" s="69"/>
      <c r="U8" s="69"/>
      <c r="W8" s="69"/>
      <c r="X8" s="69"/>
      <c r="Y8" s="69"/>
      <c r="Z8" s="69"/>
    </row>
    <row r="9" spans="1:26" x14ac:dyDescent="0.2">
      <c r="A9" s="71" t="s">
        <v>76</v>
      </c>
      <c r="B9" s="72">
        <f>AVERAGE(B13:B38)</f>
        <v>45.842307692307685</v>
      </c>
      <c r="C9" s="73">
        <f>AVERAGE(C13:C38)</f>
        <v>52.982429356357933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>
        <f>AVERAGE(O13:O38)</f>
        <v>52.982429356357933</v>
      </c>
      <c r="P9" s="73"/>
      <c r="Q9" s="74"/>
      <c r="R9" s="74"/>
      <c r="S9" s="74"/>
      <c r="T9" s="74"/>
      <c r="U9" s="74"/>
      <c r="W9" s="69"/>
      <c r="X9" s="69"/>
      <c r="Y9" s="69"/>
      <c r="Z9" s="69"/>
    </row>
    <row r="10" spans="1:26" ht="13.5" thickBot="1" x14ac:dyDescent="0.25">
      <c r="A10" s="76" t="s">
        <v>77</v>
      </c>
      <c r="B10" s="77">
        <f>SUM(B13:B38)</f>
        <v>1191.8999999999999</v>
      </c>
      <c r="C10" s="77">
        <f>SUM(C13:C38)</f>
        <v>1377.5431632653062</v>
      </c>
      <c r="D10" s="78"/>
      <c r="E10" s="78"/>
      <c r="F10" s="78"/>
      <c r="G10" s="78"/>
      <c r="H10" s="78"/>
      <c r="I10" s="78"/>
      <c r="J10" s="78"/>
      <c r="K10" s="78"/>
      <c r="L10" s="77">
        <f>SUM(L13:L38)</f>
        <v>265.4034615384615</v>
      </c>
      <c r="M10" s="77">
        <f>SUM(M13:M38)</f>
        <v>327.21267464678175</v>
      </c>
      <c r="N10" s="78"/>
      <c r="O10" s="69"/>
      <c r="P10" s="78"/>
      <c r="Q10" s="77">
        <f>SUM(Q13:Q38)</f>
        <v>403.41649588464242</v>
      </c>
      <c r="R10" s="77">
        <f>SUM(R13:R38)</f>
        <v>693.83332563555246</v>
      </c>
      <c r="S10" s="77">
        <f>SUM(S13:S38)</f>
        <v>403.41649588464259</v>
      </c>
      <c r="T10" s="79">
        <f>SUM(T13:T38)</f>
        <v>290.41682975090993</v>
      </c>
      <c r="U10" s="80"/>
      <c r="W10" s="69"/>
      <c r="X10" s="69"/>
      <c r="Y10" s="69"/>
      <c r="Z10" s="69"/>
    </row>
    <row r="11" spans="1:26" ht="13.5" thickBot="1" x14ac:dyDescent="0.25">
      <c r="A11" s="242" t="s">
        <v>78</v>
      </c>
      <c r="B11" s="250" t="s">
        <v>79</v>
      </c>
      <c r="C11" s="250" t="s">
        <v>80</v>
      </c>
      <c r="D11" s="240" t="s">
        <v>81</v>
      </c>
      <c r="E11" s="252"/>
      <c r="F11" s="242" t="s">
        <v>45</v>
      </c>
      <c r="G11" s="242" t="s">
        <v>82</v>
      </c>
      <c r="H11" s="242" t="s">
        <v>83</v>
      </c>
      <c r="I11" s="242" t="s">
        <v>84</v>
      </c>
      <c r="J11" s="240" t="s">
        <v>85</v>
      </c>
      <c r="K11" s="241"/>
      <c r="L11" s="241"/>
      <c r="M11" s="252"/>
      <c r="N11" s="242" t="s">
        <v>86</v>
      </c>
      <c r="O11" s="244" t="s">
        <v>87</v>
      </c>
      <c r="P11" s="240" t="s">
        <v>88</v>
      </c>
      <c r="Q11" s="241"/>
      <c r="R11" s="241"/>
      <c r="S11" s="241"/>
      <c r="T11" s="242" t="s">
        <v>89</v>
      </c>
      <c r="U11" s="238" t="s">
        <v>90</v>
      </c>
      <c r="W11" s="69"/>
      <c r="X11" s="69"/>
      <c r="Y11" s="69"/>
      <c r="Z11" s="69"/>
    </row>
    <row r="12" spans="1:26" ht="60" customHeight="1" thickBot="1" x14ac:dyDescent="0.25">
      <c r="A12" s="246"/>
      <c r="B12" s="251"/>
      <c r="C12" s="251"/>
      <c r="D12" s="81" t="s">
        <v>91</v>
      </c>
      <c r="E12" s="81" t="s">
        <v>92</v>
      </c>
      <c r="F12" s="243"/>
      <c r="G12" s="243"/>
      <c r="H12" s="243"/>
      <c r="I12" s="246"/>
      <c r="J12" s="82" t="s">
        <v>93</v>
      </c>
      <c r="K12" s="83" t="s">
        <v>94</v>
      </c>
      <c r="L12" s="82" t="s">
        <v>95</v>
      </c>
      <c r="M12" s="83" t="s">
        <v>96</v>
      </c>
      <c r="N12" s="243"/>
      <c r="O12" s="245"/>
      <c r="P12" s="83" t="s">
        <v>97</v>
      </c>
      <c r="Q12" s="84" t="s">
        <v>98</v>
      </c>
      <c r="R12" s="83" t="s">
        <v>99</v>
      </c>
      <c r="S12" s="84" t="s">
        <v>100</v>
      </c>
      <c r="T12" s="246"/>
      <c r="U12" s="239"/>
      <c r="V12" s="85"/>
      <c r="W12" s="85"/>
      <c r="X12" s="85"/>
      <c r="Y12" s="85"/>
      <c r="Z12" s="85"/>
    </row>
    <row r="13" spans="1:26" x14ac:dyDescent="0.2">
      <c r="A13" s="86">
        <v>1</v>
      </c>
      <c r="B13" s="87">
        <v>45</v>
      </c>
      <c r="C13" s="88">
        <v>57.546734693877546</v>
      </c>
      <c r="D13" s="253">
        <f>M10/L10</f>
        <v>1.2328877428727998</v>
      </c>
      <c r="E13" s="255">
        <f>C9-D13*B9</f>
        <v>-3.5359899024916785</v>
      </c>
      <c r="F13" s="255">
        <f>S10/(Q10^0.5*R10^0.5)</f>
        <v>0.7625165048500181</v>
      </c>
      <c r="G13" s="255">
        <f>(T10/(N13-2))^0.5</f>
        <v>3.47860622083346</v>
      </c>
      <c r="H13" s="247">
        <f>G13/C9</f>
        <v>6.5655845968037418E-2</v>
      </c>
      <c r="I13" s="89">
        <f t="shared" ref="I13:I36" si="0">U13/G$13</f>
        <v>1.6106382302021036</v>
      </c>
      <c r="J13" s="90">
        <f>C13-C$9</f>
        <v>4.5643053375196132</v>
      </c>
      <c r="K13" s="88">
        <f>B13-B$9</f>
        <v>-0.84230769230768487</v>
      </c>
      <c r="L13" s="90">
        <f t="shared" ref="L13:L36" si="1">K13^2</f>
        <v>0.70948224852069752</v>
      </c>
      <c r="M13" s="88">
        <f t="shared" ref="M13:M36" si="2">J13*K13</f>
        <v>-3.8445494958337942</v>
      </c>
      <c r="N13" s="257">
        <f>COUNT(A13:A38)</f>
        <v>26</v>
      </c>
      <c r="O13" s="91">
        <f t="shared" ref="O13:O36" si="3">B13*D$13+E$13</f>
        <v>51.943958526784314</v>
      </c>
      <c r="P13" s="88">
        <f t="shared" ref="P13:P36" si="4">O13-O$9</f>
        <v>-1.0384708295736189</v>
      </c>
      <c r="Q13" s="90">
        <f t="shared" ref="Q13:Q36" si="5">P13^2</f>
        <v>1.0784216638753203</v>
      </c>
      <c r="R13" s="88">
        <f t="shared" ref="R13:R36" si="6">J13^2</f>
        <v>20.83288321411003</v>
      </c>
      <c r="S13" s="90">
        <f t="shared" ref="S13:S36" si="7">J13*P13</f>
        <v>-4.7398979502812892</v>
      </c>
      <c r="T13" s="89">
        <f t="shared" ref="T13:T36" si="8">(C13-O13)^2</f>
        <v>31.39110077854793</v>
      </c>
      <c r="U13" s="92">
        <f t="shared" ref="U13:U36" si="9">T13^0.5</f>
        <v>5.6027761670932321</v>
      </c>
      <c r="W13" s="69"/>
      <c r="X13" s="69"/>
      <c r="Y13" s="69"/>
      <c r="Z13" s="69"/>
    </row>
    <row r="14" spans="1:26" x14ac:dyDescent="0.2">
      <c r="A14" s="69">
        <v>2</v>
      </c>
      <c r="B14" s="87">
        <v>46.1</v>
      </c>
      <c r="C14" s="88">
        <v>57.447857142857139</v>
      </c>
      <c r="D14" s="253"/>
      <c r="E14" s="255"/>
      <c r="F14" s="255"/>
      <c r="G14" s="255"/>
      <c r="H14" s="247"/>
      <c r="I14" s="89">
        <f t="shared" si="0"/>
        <v>1.1923517166363737</v>
      </c>
      <c r="J14" s="90">
        <f t="shared" ref="J14:J21" si="10">C14-C$9</f>
        <v>4.4654277864992054</v>
      </c>
      <c r="K14" s="88">
        <f t="shared" ref="K14:K21" si="11">B14-B$9</f>
        <v>0.25769230769231655</v>
      </c>
      <c r="L14" s="90">
        <f t="shared" si="1"/>
        <v>6.6405325443791546E-2</v>
      </c>
      <c r="M14" s="88">
        <f t="shared" si="2"/>
        <v>1.1507063911363733</v>
      </c>
      <c r="N14" s="258"/>
      <c r="O14" s="91">
        <f t="shared" si="3"/>
        <v>53.300135043944394</v>
      </c>
      <c r="P14" s="88">
        <f t="shared" si="4"/>
        <v>0.31770568758646078</v>
      </c>
      <c r="Q14" s="90">
        <f t="shared" si="5"/>
        <v>0.10093690392478583</v>
      </c>
      <c r="R14" s="88">
        <f t="shared" si="6"/>
        <v>19.940045316439193</v>
      </c>
      <c r="S14" s="90">
        <f t="shared" si="7"/>
        <v>1.4186918052774176</v>
      </c>
      <c r="T14" s="89">
        <f t="shared" si="8"/>
        <v>17.203598609809145</v>
      </c>
      <c r="U14" s="92">
        <f t="shared" si="9"/>
        <v>4.1477220989127446</v>
      </c>
      <c r="W14" s="69"/>
      <c r="X14" s="69"/>
      <c r="Y14" s="69"/>
      <c r="Z14" s="69"/>
    </row>
    <row r="15" spans="1:26" x14ac:dyDescent="0.2">
      <c r="A15" s="93">
        <v>3</v>
      </c>
      <c r="B15" s="87">
        <v>46.1</v>
      </c>
      <c r="C15" s="88">
        <v>57.744489795918369</v>
      </c>
      <c r="D15" s="253"/>
      <c r="E15" s="255"/>
      <c r="F15" s="255"/>
      <c r="G15" s="255"/>
      <c r="H15" s="247"/>
      <c r="I15" s="89">
        <f t="shared" si="0"/>
        <v>1.2776251377222931</v>
      </c>
      <c r="J15" s="90">
        <f t="shared" si="10"/>
        <v>4.762060439560436</v>
      </c>
      <c r="K15" s="88">
        <f t="shared" si="11"/>
        <v>0.25769230769231655</v>
      </c>
      <c r="L15" s="90">
        <f t="shared" si="1"/>
        <v>6.6405325443791546E-2</v>
      </c>
      <c r="M15" s="88">
        <f t="shared" si="2"/>
        <v>1.2271463440406161</v>
      </c>
      <c r="N15" s="258"/>
      <c r="O15" s="91">
        <f t="shared" si="3"/>
        <v>53.300135043944394</v>
      </c>
      <c r="P15" s="88">
        <f t="shared" si="4"/>
        <v>0.31770568758646078</v>
      </c>
      <c r="Q15" s="90">
        <f t="shared" si="5"/>
        <v>0.10093690392478583</v>
      </c>
      <c r="R15" s="88">
        <f t="shared" si="6"/>
        <v>22.677219630026531</v>
      </c>
      <c r="S15" s="90">
        <f t="shared" si="7"/>
        <v>1.5129336862788321</v>
      </c>
      <c r="T15" s="89">
        <f t="shared" si="8"/>
        <v>19.752289161393655</v>
      </c>
      <c r="U15" s="92">
        <f t="shared" si="9"/>
        <v>4.4443547519739752</v>
      </c>
      <c r="W15" s="69"/>
      <c r="X15" s="69"/>
      <c r="Y15" s="69"/>
      <c r="Z15" s="69"/>
    </row>
    <row r="16" spans="1:26" x14ac:dyDescent="0.2">
      <c r="A16" s="93">
        <v>4</v>
      </c>
      <c r="B16" s="87">
        <v>42.6</v>
      </c>
      <c r="C16" s="88">
        <v>48.1</v>
      </c>
      <c r="D16" s="253"/>
      <c r="E16" s="255"/>
      <c r="F16" s="255"/>
      <c r="G16" s="255"/>
      <c r="H16" s="247"/>
      <c r="I16" s="89">
        <f t="shared" si="0"/>
        <v>0.25442027286363572</v>
      </c>
      <c r="J16" s="90">
        <f t="shared" si="10"/>
        <v>-4.8824293563579317</v>
      </c>
      <c r="K16" s="88">
        <f t="shared" si="11"/>
        <v>-3.2423076923076835</v>
      </c>
      <c r="L16" s="90">
        <f t="shared" si="1"/>
        <v>10.512559171597577</v>
      </c>
      <c r="M16" s="88">
        <f t="shared" si="2"/>
        <v>15.830338259268174</v>
      </c>
      <c r="N16" s="258"/>
      <c r="O16" s="91">
        <f t="shared" si="3"/>
        <v>48.985027943889591</v>
      </c>
      <c r="P16" s="88">
        <f t="shared" si="4"/>
        <v>-3.9974014124683421</v>
      </c>
      <c r="Q16" s="90">
        <f t="shared" si="5"/>
        <v>15.979218052403898</v>
      </c>
      <c r="R16" s="88">
        <f t="shared" si="6"/>
        <v>23.838116419825727</v>
      </c>
      <c r="S16" s="90">
        <f t="shared" si="7"/>
        <v>19.517030005382097</v>
      </c>
      <c r="T16" s="89">
        <f t="shared" si="8"/>
        <v>0.78327446146543456</v>
      </c>
      <c r="U16" s="92">
        <f t="shared" si="9"/>
        <v>0.88502794388958961</v>
      </c>
      <c r="W16" s="69"/>
      <c r="X16" s="69"/>
      <c r="Y16" s="69"/>
      <c r="Z16" s="69"/>
    </row>
    <row r="17" spans="1:26" x14ac:dyDescent="0.2">
      <c r="A17" s="93">
        <v>5</v>
      </c>
      <c r="B17" s="87">
        <v>42.1</v>
      </c>
      <c r="C17" s="88">
        <v>47.9</v>
      </c>
      <c r="D17" s="253"/>
      <c r="E17" s="255"/>
      <c r="F17" s="255"/>
      <c r="G17" s="255"/>
      <c r="H17" s="247"/>
      <c r="I17" s="89">
        <f t="shared" si="0"/>
        <v>0.13470454621935513</v>
      </c>
      <c r="J17" s="90">
        <f t="shared" si="10"/>
        <v>-5.0824293563579346</v>
      </c>
      <c r="K17" s="88">
        <f t="shared" si="11"/>
        <v>-3.7423076923076835</v>
      </c>
      <c r="L17" s="90">
        <f t="shared" si="1"/>
        <v>14.00486686390526</v>
      </c>
      <c r="M17" s="88">
        <f t="shared" si="2"/>
        <v>19.020014475908688</v>
      </c>
      <c r="N17" s="258"/>
      <c r="O17" s="91">
        <f t="shared" si="3"/>
        <v>48.368584072453196</v>
      </c>
      <c r="P17" s="88">
        <f t="shared" si="4"/>
        <v>-4.6138452839047375</v>
      </c>
      <c r="Q17" s="90">
        <f t="shared" si="5"/>
        <v>21.287568303809987</v>
      </c>
      <c r="R17" s="88">
        <f t="shared" si="6"/>
        <v>25.831088162368928</v>
      </c>
      <c r="S17" s="90">
        <f t="shared" si="7"/>
        <v>23.449542716611045</v>
      </c>
      <c r="T17" s="89">
        <f t="shared" si="8"/>
        <v>0.21957103295682306</v>
      </c>
      <c r="U17" s="92">
        <f t="shared" si="9"/>
        <v>0.46858407245319711</v>
      </c>
      <c r="W17" s="69"/>
      <c r="X17" s="69"/>
      <c r="Y17" s="69"/>
      <c r="Z17" s="69"/>
    </row>
    <row r="18" spans="1:26" x14ac:dyDescent="0.2">
      <c r="A18" s="93">
        <v>6</v>
      </c>
      <c r="B18" s="87">
        <v>52</v>
      </c>
      <c r="C18" s="88">
        <v>59.029897959183671</v>
      </c>
      <c r="D18" s="253"/>
      <c r="E18" s="255"/>
      <c r="F18" s="255"/>
      <c r="G18" s="255"/>
      <c r="H18" s="247"/>
      <c r="I18" s="89">
        <f t="shared" si="0"/>
        <v>0.44393491808918589</v>
      </c>
      <c r="J18" s="90">
        <f t="shared" si="10"/>
        <v>6.0474686028257381</v>
      </c>
      <c r="K18" s="88">
        <f t="shared" si="11"/>
        <v>6.1576923076923151</v>
      </c>
      <c r="L18" s="90">
        <f t="shared" si="1"/>
        <v>37.917174556213112</v>
      </c>
      <c r="M18" s="88">
        <f t="shared" si="2"/>
        <v>37.238450896630837</v>
      </c>
      <c r="N18" s="258"/>
      <c r="O18" s="91">
        <f t="shared" si="3"/>
        <v>60.574172726893906</v>
      </c>
      <c r="P18" s="88">
        <f t="shared" si="4"/>
        <v>7.5917433705359727</v>
      </c>
      <c r="Q18" s="90">
        <f t="shared" si="5"/>
        <v>57.63456740407689</v>
      </c>
      <c r="R18" s="88">
        <f t="shared" si="6"/>
        <v>36.571876502163086</v>
      </c>
      <c r="S18" s="90">
        <f t="shared" si="7"/>
        <v>45.910829674026736</v>
      </c>
      <c r="T18" s="89">
        <f t="shared" si="8"/>
        <v>2.384784558186499</v>
      </c>
      <c r="U18" s="92">
        <f t="shared" si="9"/>
        <v>1.5442747677102346</v>
      </c>
      <c r="W18" s="69"/>
      <c r="X18" s="69"/>
      <c r="Y18" s="69"/>
      <c r="Z18" s="69"/>
    </row>
    <row r="19" spans="1:26" x14ac:dyDescent="0.2">
      <c r="A19" s="93">
        <v>7</v>
      </c>
      <c r="B19" s="87">
        <v>44.5</v>
      </c>
      <c r="C19" s="88">
        <v>55.272551020408159</v>
      </c>
      <c r="D19" s="253"/>
      <c r="E19" s="255"/>
      <c r="F19" s="255"/>
      <c r="G19" s="255"/>
      <c r="H19" s="247"/>
      <c r="I19" s="89">
        <f t="shared" si="0"/>
        <v>1.1340853533329887</v>
      </c>
      <c r="J19" s="90">
        <f t="shared" si="10"/>
        <v>2.2901216640502255</v>
      </c>
      <c r="K19" s="88">
        <f t="shared" si="11"/>
        <v>-1.3423076923076849</v>
      </c>
      <c r="L19" s="90">
        <f t="shared" si="1"/>
        <v>1.8017899408283824</v>
      </c>
      <c r="M19" s="88">
        <f t="shared" si="2"/>
        <v>-3.0740479259750932</v>
      </c>
      <c r="N19" s="258"/>
      <c r="O19" s="91">
        <f t="shared" si="3"/>
        <v>51.327514655347912</v>
      </c>
      <c r="P19" s="88">
        <f t="shared" si="4"/>
        <v>-1.6549147010100214</v>
      </c>
      <c r="Q19" s="90">
        <f t="shared" si="5"/>
        <v>2.7387426676190882</v>
      </c>
      <c r="R19" s="88">
        <f t="shared" si="6"/>
        <v>5.2446572361521744</v>
      </c>
      <c r="S19" s="90">
        <f t="shared" si="7"/>
        <v>-3.7899560089382516</v>
      </c>
      <c r="T19" s="89">
        <f t="shared" si="8"/>
        <v>15.563311921647765</v>
      </c>
      <c r="U19" s="92">
        <f t="shared" si="9"/>
        <v>3.9450363650602469</v>
      </c>
      <c r="W19" s="69"/>
      <c r="X19" s="69"/>
      <c r="Y19" s="69"/>
      <c r="Z19" s="69"/>
    </row>
    <row r="20" spans="1:26" x14ac:dyDescent="0.2">
      <c r="A20" s="93">
        <v>8</v>
      </c>
      <c r="B20" s="87">
        <v>47.2</v>
      </c>
      <c r="C20" s="88">
        <v>55.173673469387751</v>
      </c>
      <c r="D20" s="253"/>
      <c r="E20" s="255"/>
      <c r="F20" s="255"/>
      <c r="G20" s="255"/>
      <c r="H20" s="247"/>
      <c r="I20" s="89">
        <f t="shared" si="0"/>
        <v>0.14872678177391385</v>
      </c>
      <c r="J20" s="90">
        <f t="shared" si="10"/>
        <v>2.1912441130298177</v>
      </c>
      <c r="K20" s="88">
        <f t="shared" si="11"/>
        <v>1.357692307692318</v>
      </c>
      <c r="L20" s="90">
        <f t="shared" si="1"/>
        <v>1.8433284023668919</v>
      </c>
      <c r="M20" s="88">
        <f t="shared" si="2"/>
        <v>2.9750352765366594</v>
      </c>
      <c r="N20" s="258"/>
      <c r="O20" s="91">
        <f t="shared" si="3"/>
        <v>54.656311561104474</v>
      </c>
      <c r="P20" s="88">
        <f t="shared" si="4"/>
        <v>1.6738822047465405</v>
      </c>
      <c r="Q20" s="90">
        <f t="shared" si="5"/>
        <v>2.8018816353671392</v>
      </c>
      <c r="R20" s="88">
        <f t="shared" si="6"/>
        <v>4.8015507628878327</v>
      </c>
      <c r="S20" s="90">
        <f t="shared" si="7"/>
        <v>3.6678845270562288</v>
      </c>
      <c r="T20" s="89">
        <f t="shared" si="8"/>
        <v>0.26766334414251414</v>
      </c>
      <c r="U20" s="92">
        <f t="shared" si="9"/>
        <v>0.51736190828327722</v>
      </c>
      <c r="W20" s="69"/>
      <c r="X20" s="69"/>
      <c r="Y20" s="69"/>
      <c r="Z20" s="69"/>
    </row>
    <row r="21" spans="1:26" x14ac:dyDescent="0.2">
      <c r="A21" s="93">
        <v>9</v>
      </c>
      <c r="B21" s="87">
        <v>48.7</v>
      </c>
      <c r="C21" s="88">
        <v>54.086020408163257</v>
      </c>
      <c r="D21" s="253"/>
      <c r="E21" s="255"/>
      <c r="F21" s="255"/>
      <c r="G21" s="255"/>
      <c r="H21" s="247"/>
      <c r="I21" s="89">
        <f t="shared" si="0"/>
        <v>0.69557248324321241</v>
      </c>
      <c r="J21" s="90">
        <f t="shared" si="10"/>
        <v>1.1035910518053242</v>
      </c>
      <c r="K21" s="88">
        <f t="shared" si="11"/>
        <v>2.857692307692318</v>
      </c>
      <c r="L21" s="90">
        <f t="shared" si="1"/>
        <v>8.1664053254438453</v>
      </c>
      <c r="M21" s="88">
        <f t="shared" si="2"/>
        <v>3.1537236595821496</v>
      </c>
      <c r="N21" s="258"/>
      <c r="O21" s="91">
        <f t="shared" si="3"/>
        <v>56.505643175413674</v>
      </c>
      <c r="P21" s="88">
        <f t="shared" si="4"/>
        <v>3.5232138190557407</v>
      </c>
      <c r="Q21" s="90">
        <f t="shared" si="5"/>
        <v>12.413035614785338</v>
      </c>
      <c r="R21" s="88">
        <f t="shared" si="6"/>
        <v>1.2179132096247818</v>
      </c>
      <c r="S21" s="90">
        <f t="shared" si="7"/>
        <v>3.8881872443067782</v>
      </c>
      <c r="T21" s="89">
        <f t="shared" si="8"/>
        <v>5.8545743357965634</v>
      </c>
      <c r="U21" s="92">
        <f t="shared" si="9"/>
        <v>2.4196227672504165</v>
      </c>
      <c r="V21" s="69"/>
      <c r="W21" s="69"/>
      <c r="X21" s="69"/>
      <c r="Y21" s="69"/>
      <c r="Z21" s="69"/>
    </row>
    <row r="22" spans="1:26" x14ac:dyDescent="0.2">
      <c r="A22" s="93">
        <v>10</v>
      </c>
      <c r="B22" s="87">
        <v>39.5</v>
      </c>
      <c r="C22" s="88">
        <v>43.4</v>
      </c>
      <c r="D22" s="253"/>
      <c r="E22" s="255"/>
      <c r="F22" s="255"/>
      <c r="G22" s="255"/>
      <c r="H22" s="247"/>
      <c r="I22" s="89">
        <f t="shared" si="0"/>
        <v>0.50683401024951058</v>
      </c>
      <c r="J22" s="90">
        <f>C22-C$9</f>
        <v>-9.5824293563579346</v>
      </c>
      <c r="K22" s="88">
        <f>B22-B$9</f>
        <v>-6.3423076923076849</v>
      </c>
      <c r="L22" s="90">
        <f t="shared" si="1"/>
        <v>40.224866863905234</v>
      </c>
      <c r="M22" s="88">
        <f t="shared" si="2"/>
        <v>60.774715417823906</v>
      </c>
      <c r="N22" s="258"/>
      <c r="O22" s="91">
        <f t="shared" si="3"/>
        <v>45.163075940983916</v>
      </c>
      <c r="P22" s="88">
        <f t="shared" si="4"/>
        <v>-7.8193534153740174</v>
      </c>
      <c r="Q22" s="90">
        <f t="shared" si="5"/>
        <v>61.142287834521312</v>
      </c>
      <c r="R22" s="88">
        <f t="shared" si="6"/>
        <v>91.82295236959034</v>
      </c>
      <c r="S22" s="90">
        <f t="shared" si="7"/>
        <v>74.92840171521766</v>
      </c>
      <c r="T22" s="89">
        <f t="shared" si="8"/>
        <v>3.108436773676325</v>
      </c>
      <c r="U22" s="92">
        <f t="shared" si="9"/>
        <v>1.7630759409839172</v>
      </c>
      <c r="V22" s="69"/>
      <c r="W22" s="69"/>
      <c r="X22" s="69"/>
      <c r="Y22" s="69"/>
      <c r="Z22" s="69"/>
    </row>
    <row r="23" spans="1:26" x14ac:dyDescent="0.2">
      <c r="A23" s="93">
        <v>11</v>
      </c>
      <c r="B23" s="87">
        <v>47.6</v>
      </c>
      <c r="C23" s="88">
        <v>54.580408163265304</v>
      </c>
      <c r="D23" s="253"/>
      <c r="E23" s="255"/>
      <c r="F23" s="255"/>
      <c r="G23" s="255"/>
      <c r="H23" s="247"/>
      <c r="I23" s="89">
        <f t="shared" si="0"/>
        <v>0.16358807489625724</v>
      </c>
      <c r="J23" s="90">
        <f>C23-C$9</f>
        <v>1.5979788069073706</v>
      </c>
      <c r="K23" s="88">
        <f>B23-B$9</f>
        <v>1.7576923076923165</v>
      </c>
      <c r="L23" s="90">
        <f t="shared" si="1"/>
        <v>3.0894822485207412</v>
      </c>
      <c r="M23" s="88">
        <f t="shared" si="2"/>
        <v>2.8087550567564308</v>
      </c>
      <c r="N23" s="258"/>
      <c r="O23" s="91">
        <f t="shared" si="3"/>
        <v>55.149466658253594</v>
      </c>
      <c r="P23" s="88">
        <f t="shared" si="4"/>
        <v>2.167037301895661</v>
      </c>
      <c r="Q23" s="90">
        <f t="shared" si="5"/>
        <v>4.696050667807226</v>
      </c>
      <c r="R23" s="88">
        <f t="shared" si="6"/>
        <v>2.5535362673251036</v>
      </c>
      <c r="S23" s="90">
        <f t="shared" si="7"/>
        <v>3.4628796822069958</v>
      </c>
      <c r="T23" s="89">
        <f t="shared" si="8"/>
        <v>0.32382757071833818</v>
      </c>
      <c r="U23" s="92">
        <f t="shared" si="9"/>
        <v>0.56905849498829042</v>
      </c>
      <c r="V23" s="69"/>
      <c r="W23" s="69"/>
      <c r="X23" s="69"/>
      <c r="Y23" s="69"/>
      <c r="Z23" s="69"/>
    </row>
    <row r="24" spans="1:26" x14ac:dyDescent="0.2">
      <c r="A24" s="93">
        <v>12</v>
      </c>
      <c r="B24" s="87">
        <v>49.6</v>
      </c>
      <c r="C24" s="88">
        <v>55.569183673469382</v>
      </c>
      <c r="D24" s="253"/>
      <c r="E24" s="255"/>
      <c r="F24" s="255"/>
      <c r="G24" s="255"/>
      <c r="H24" s="247"/>
      <c r="I24" s="89">
        <f t="shared" si="0"/>
        <v>0.58818341043487821</v>
      </c>
      <c r="J24" s="90">
        <f t="shared" ref="J24:J36" si="12">C24-C$9</f>
        <v>2.5867543171114491</v>
      </c>
      <c r="K24" s="88">
        <f t="shared" ref="K24:K36" si="13">B24-B$9</f>
        <v>3.7576923076923165</v>
      </c>
      <c r="L24" s="90">
        <f t="shared" si="1"/>
        <v>14.120251479290008</v>
      </c>
      <c r="M24" s="88">
        <f t="shared" si="2"/>
        <v>9.7202267992995832</v>
      </c>
      <c r="N24" s="258"/>
      <c r="O24" s="91">
        <f t="shared" si="3"/>
        <v>57.61524214399919</v>
      </c>
      <c r="P24" s="88">
        <f t="shared" si="4"/>
        <v>4.6328127876412566</v>
      </c>
      <c r="Q24" s="90">
        <f t="shared" si="5"/>
        <v>21.462954325332351</v>
      </c>
      <c r="R24" s="88">
        <f t="shared" si="6"/>
        <v>6.691297897094719</v>
      </c>
      <c r="S24" s="90">
        <f t="shared" si="7"/>
        <v>11.983948478800148</v>
      </c>
      <c r="T24" s="89">
        <f t="shared" si="8"/>
        <v>4.1863552648267754</v>
      </c>
      <c r="U24" s="92">
        <f t="shared" si="9"/>
        <v>2.0460584705298075</v>
      </c>
      <c r="V24" s="69"/>
      <c r="W24" s="69"/>
      <c r="X24" s="69"/>
      <c r="Y24" s="69"/>
      <c r="Z24" s="69"/>
    </row>
    <row r="25" spans="1:26" x14ac:dyDescent="0.2">
      <c r="A25" s="93">
        <v>13</v>
      </c>
      <c r="B25" s="87">
        <v>46.3</v>
      </c>
      <c r="C25" s="88">
        <v>56.360204081632652</v>
      </c>
      <c r="D25" s="253"/>
      <c r="E25" s="255"/>
      <c r="F25" s="255"/>
      <c r="G25" s="255"/>
      <c r="H25" s="247"/>
      <c r="I25" s="89">
        <f t="shared" si="0"/>
        <v>0.80879849873884269</v>
      </c>
      <c r="J25" s="90">
        <f t="shared" si="12"/>
        <v>3.377774725274719</v>
      </c>
      <c r="K25" s="88">
        <f t="shared" si="13"/>
        <v>0.45769230769231228</v>
      </c>
      <c r="L25" s="90">
        <f t="shared" si="1"/>
        <v>0.20948224852071426</v>
      </c>
      <c r="M25" s="88">
        <f t="shared" si="2"/>
        <v>1.5459815088757523</v>
      </c>
      <c r="N25" s="258"/>
      <c r="O25" s="91">
        <f t="shared" si="3"/>
        <v>53.546712592518951</v>
      </c>
      <c r="P25" s="88">
        <f t="shared" si="4"/>
        <v>0.5642832361610175</v>
      </c>
      <c r="Q25" s="90">
        <f t="shared" si="5"/>
        <v>0.31841557061235065</v>
      </c>
      <c r="R25" s="88">
        <f t="shared" si="6"/>
        <v>11.409362094704704</v>
      </c>
      <c r="S25" s="90">
        <f t="shared" si="7"/>
        <v>1.9060216530009102</v>
      </c>
      <c r="T25" s="89">
        <f t="shared" si="8"/>
        <v>7.9157343593152332</v>
      </c>
      <c r="U25" s="92">
        <f t="shared" si="9"/>
        <v>2.8134914891137015</v>
      </c>
      <c r="V25" s="69"/>
      <c r="W25" s="69"/>
      <c r="X25" s="69"/>
      <c r="Y25" s="69"/>
      <c r="Z25" s="69"/>
    </row>
    <row r="26" spans="1:26" x14ac:dyDescent="0.2">
      <c r="A26" s="93">
        <v>14</v>
      </c>
      <c r="B26" s="87">
        <v>47.3</v>
      </c>
      <c r="C26" s="88">
        <v>52.701734693877547</v>
      </c>
      <c r="D26" s="253"/>
      <c r="E26" s="255"/>
      <c r="F26" s="255"/>
      <c r="G26" s="255"/>
      <c r="H26" s="247"/>
      <c r="I26" s="89">
        <f t="shared" si="0"/>
        <v>0.59732706423331605</v>
      </c>
      <c r="J26" s="90">
        <f t="shared" si="12"/>
        <v>-0.28069466248038566</v>
      </c>
      <c r="K26" s="88">
        <f t="shared" si="13"/>
        <v>1.4576923076923123</v>
      </c>
      <c r="L26" s="90">
        <f t="shared" si="1"/>
        <v>2.1248668639053387</v>
      </c>
      <c r="M26" s="88">
        <f t="shared" si="2"/>
        <v>-0.40916645030794807</v>
      </c>
      <c r="N26" s="258"/>
      <c r="O26" s="91">
        <f t="shared" si="3"/>
        <v>54.779600335391748</v>
      </c>
      <c r="P26" s="88">
        <f t="shared" si="4"/>
        <v>1.7971709790338153</v>
      </c>
      <c r="Q26" s="90">
        <f t="shared" si="5"/>
        <v>3.2298235278813623</v>
      </c>
      <c r="R26" s="88">
        <f t="shared" si="6"/>
        <v>7.8789493544977621E-2</v>
      </c>
      <c r="S26" s="90">
        <f t="shared" si="7"/>
        <v>-0.50445630137944109</v>
      </c>
      <c r="T26" s="89">
        <f t="shared" si="8"/>
        <v>4.3175256241852216</v>
      </c>
      <c r="U26" s="92">
        <f t="shared" si="9"/>
        <v>2.0778656415142009</v>
      </c>
      <c r="V26" s="69"/>
      <c r="W26" s="69"/>
      <c r="X26" s="69"/>
      <c r="Y26" s="69"/>
      <c r="Z26" s="69"/>
    </row>
    <row r="27" spans="1:26" x14ac:dyDescent="0.2">
      <c r="A27" s="93">
        <v>15</v>
      </c>
      <c r="B27" s="87">
        <v>47.1</v>
      </c>
      <c r="C27" s="88">
        <v>53.49275510204081</v>
      </c>
      <c r="D27" s="253"/>
      <c r="E27" s="255"/>
      <c r="F27" s="255"/>
      <c r="G27" s="255"/>
      <c r="H27" s="247"/>
      <c r="I27" s="89">
        <f t="shared" si="0"/>
        <v>0.29904726742170246</v>
      </c>
      <c r="J27" s="90">
        <f t="shared" si="12"/>
        <v>0.51032574568287714</v>
      </c>
      <c r="K27" s="88">
        <f t="shared" si="13"/>
        <v>1.2576923076923165</v>
      </c>
      <c r="L27" s="90">
        <f t="shared" si="1"/>
        <v>1.5817899408284246</v>
      </c>
      <c r="M27" s="88">
        <f t="shared" si="2"/>
        <v>0.64183276476270001</v>
      </c>
      <c r="N27" s="258"/>
      <c r="O27" s="91">
        <f t="shared" si="3"/>
        <v>54.533022786817192</v>
      </c>
      <c r="P27" s="88">
        <f t="shared" si="4"/>
        <v>1.5505934304592586</v>
      </c>
      <c r="Q27" s="90">
        <f t="shared" si="5"/>
        <v>2.4043399865834116</v>
      </c>
      <c r="R27" s="88">
        <f t="shared" si="6"/>
        <v>0.2604323667067846</v>
      </c>
      <c r="S27" s="90">
        <f t="shared" si="7"/>
        <v>0.79130774865009168</v>
      </c>
      <c r="T27" s="89">
        <f t="shared" si="8"/>
        <v>1.082156855990013</v>
      </c>
      <c r="U27" s="92">
        <f t="shared" si="9"/>
        <v>1.0402676847763814</v>
      </c>
      <c r="V27" s="69"/>
      <c r="W27" s="69"/>
      <c r="X27" s="69"/>
      <c r="Y27" s="69"/>
      <c r="Z27" s="69"/>
    </row>
    <row r="28" spans="1:26" x14ac:dyDescent="0.2">
      <c r="A28" s="93">
        <v>16</v>
      </c>
      <c r="B28" s="87">
        <v>47.2</v>
      </c>
      <c r="C28" s="88">
        <v>49.339897959183673</v>
      </c>
      <c r="D28" s="253"/>
      <c r="E28" s="255"/>
      <c r="F28" s="255"/>
      <c r="G28" s="255"/>
      <c r="H28" s="247"/>
      <c r="I28" s="89">
        <f t="shared" si="0"/>
        <v>1.5283171662491333</v>
      </c>
      <c r="J28" s="90">
        <f t="shared" si="12"/>
        <v>-3.6425313971742597</v>
      </c>
      <c r="K28" s="88">
        <f t="shared" si="13"/>
        <v>1.357692307692318</v>
      </c>
      <c r="L28" s="90">
        <f t="shared" si="1"/>
        <v>1.8433284023668919</v>
      </c>
      <c r="M28" s="88">
        <f t="shared" si="2"/>
        <v>-4.9454368584712443</v>
      </c>
      <c r="N28" s="258"/>
      <c r="O28" s="91">
        <f t="shared" si="3"/>
        <v>54.656311561104474</v>
      </c>
      <c r="P28" s="88">
        <f t="shared" si="4"/>
        <v>1.6738822047465405</v>
      </c>
      <c r="Q28" s="90">
        <f t="shared" si="5"/>
        <v>2.8018816353671392</v>
      </c>
      <c r="R28" s="88">
        <f t="shared" si="6"/>
        <v>13.268034979400264</v>
      </c>
      <c r="S28" s="90">
        <f t="shared" si="7"/>
        <v>-6.0971684859605464</v>
      </c>
      <c r="T28" s="89">
        <f t="shared" si="8"/>
        <v>28.264253586688497</v>
      </c>
      <c r="U28" s="92">
        <f t="shared" si="9"/>
        <v>5.3164136019208001</v>
      </c>
      <c r="V28" s="69"/>
      <c r="W28" s="69"/>
      <c r="X28" s="69"/>
      <c r="Y28" s="69"/>
      <c r="Z28" s="69"/>
    </row>
    <row r="29" spans="1:26" x14ac:dyDescent="0.2">
      <c r="A29" s="93">
        <v>17</v>
      </c>
      <c r="B29" s="87">
        <v>40.5</v>
      </c>
      <c r="C29" s="88">
        <v>42.4</v>
      </c>
      <c r="D29" s="253"/>
      <c r="E29" s="255"/>
      <c r="F29" s="255"/>
      <c r="G29" s="255"/>
      <c r="H29" s="247"/>
      <c r="I29" s="89">
        <f t="shared" si="0"/>
        <v>1.1487255038885367</v>
      </c>
      <c r="J29" s="90">
        <f t="shared" si="12"/>
        <v>-10.582429356357935</v>
      </c>
      <c r="K29" s="88">
        <f t="shared" si="13"/>
        <v>-5.3423076923076849</v>
      </c>
      <c r="L29" s="90">
        <f t="shared" si="1"/>
        <v>28.540251479289861</v>
      </c>
      <c r="M29" s="88">
        <f t="shared" si="2"/>
        <v>56.534593753773656</v>
      </c>
      <c r="N29" s="258"/>
      <c r="O29" s="91">
        <f t="shared" si="3"/>
        <v>46.395963683856714</v>
      </c>
      <c r="P29" s="88">
        <f t="shared" si="4"/>
        <v>-6.5864656725012196</v>
      </c>
      <c r="Q29" s="90">
        <f t="shared" si="5"/>
        <v>43.38153005503694</v>
      </c>
      <c r="R29" s="88">
        <f t="shared" si="6"/>
        <v>111.98781108230621</v>
      </c>
      <c r="S29" s="90">
        <f t="shared" si="7"/>
        <v>69.700807687320719</v>
      </c>
      <c r="T29" s="89">
        <f t="shared" si="8"/>
        <v>15.967725762701729</v>
      </c>
      <c r="U29" s="92">
        <f t="shared" si="9"/>
        <v>3.995963683856715</v>
      </c>
      <c r="V29" s="69"/>
      <c r="W29" s="69"/>
      <c r="X29" s="69"/>
      <c r="Y29" s="69"/>
      <c r="Z29" s="69"/>
    </row>
    <row r="30" spans="1:26" x14ac:dyDescent="0.2">
      <c r="A30" s="93">
        <v>18</v>
      </c>
      <c r="B30" s="87">
        <v>43.9</v>
      </c>
      <c r="C30" s="88">
        <v>49.241020408163266</v>
      </c>
      <c r="D30" s="253"/>
      <c r="E30" s="255"/>
      <c r="F30" s="255"/>
      <c r="G30" s="255"/>
      <c r="H30" s="247"/>
      <c r="I30" s="89">
        <f t="shared" si="0"/>
        <v>0.38715552033316469</v>
      </c>
      <c r="J30" s="90">
        <f t="shared" si="12"/>
        <v>-3.7414089481946675</v>
      </c>
      <c r="K30" s="88">
        <f t="shared" si="13"/>
        <v>-1.9423076923076863</v>
      </c>
      <c r="L30" s="90">
        <f t="shared" si="1"/>
        <v>3.7725591715976097</v>
      </c>
      <c r="M30" s="88">
        <f t="shared" si="2"/>
        <v>7.2669673801473129</v>
      </c>
      <c r="N30" s="258"/>
      <c r="O30" s="91">
        <f t="shared" si="3"/>
        <v>50.587782009624227</v>
      </c>
      <c r="P30" s="88">
        <f t="shared" si="4"/>
        <v>-2.3946473467337057</v>
      </c>
      <c r="Q30" s="90">
        <f t="shared" si="5"/>
        <v>5.7343359152187769</v>
      </c>
      <c r="R30" s="88">
        <f t="shared" si="6"/>
        <v>13.998140917631128</v>
      </c>
      <c r="S30" s="90">
        <f t="shared" si="7"/>
        <v>8.9593550108401043</v>
      </c>
      <c r="T30" s="89">
        <f t="shared" si="8"/>
        <v>1.8137668111696945</v>
      </c>
      <c r="U30" s="92">
        <f t="shared" si="9"/>
        <v>1.3467616014609618</v>
      </c>
      <c r="V30" s="69"/>
      <c r="W30" s="69"/>
      <c r="X30" s="69"/>
      <c r="Y30" s="69"/>
      <c r="Z30" s="69"/>
    </row>
    <row r="31" spans="1:26" x14ac:dyDescent="0.2">
      <c r="A31" s="93">
        <v>20</v>
      </c>
      <c r="B31" s="87">
        <v>48.6</v>
      </c>
      <c r="C31" s="88">
        <v>51.317448979591838</v>
      </c>
      <c r="D31" s="253"/>
      <c r="E31" s="255"/>
      <c r="F31" s="255"/>
      <c r="G31" s="255"/>
      <c r="H31" s="247"/>
      <c r="I31" s="89">
        <f t="shared" si="0"/>
        <v>1.4560157430871907</v>
      </c>
      <c r="J31" s="90">
        <f t="shared" si="12"/>
        <v>-1.6649803767660956</v>
      </c>
      <c r="K31" s="88">
        <f t="shared" si="13"/>
        <v>2.7576923076923165</v>
      </c>
      <c r="L31" s="90">
        <f t="shared" si="1"/>
        <v>7.6048668639053743</v>
      </c>
      <c r="M31" s="88">
        <f t="shared" si="2"/>
        <v>-4.5915035774665167</v>
      </c>
      <c r="N31" s="258"/>
      <c r="O31" s="91">
        <f t="shared" si="3"/>
        <v>56.382354401126392</v>
      </c>
      <c r="P31" s="88">
        <f t="shared" si="4"/>
        <v>3.3999250447684588</v>
      </c>
      <c r="Q31" s="90">
        <f t="shared" si="5"/>
        <v>11.559490310043806</v>
      </c>
      <c r="R31" s="88">
        <f t="shared" si="6"/>
        <v>2.7721596550161696</v>
      </c>
      <c r="S31" s="90">
        <f t="shared" si="7"/>
        <v>-5.6608084820150726</v>
      </c>
      <c r="T31" s="89">
        <f t="shared" si="8"/>
        <v>25.653266929090123</v>
      </c>
      <c r="U31" s="92">
        <f t="shared" si="9"/>
        <v>5.0649054215345544</v>
      </c>
      <c r="V31" s="69"/>
      <c r="W31" s="69"/>
      <c r="X31" s="69"/>
      <c r="Y31" s="69"/>
      <c r="Z31" s="69"/>
    </row>
    <row r="32" spans="1:26" x14ac:dyDescent="0.2">
      <c r="A32" s="93">
        <v>22</v>
      </c>
      <c r="B32" s="87">
        <v>39</v>
      </c>
      <c r="C32" s="88">
        <v>42.3</v>
      </c>
      <c r="D32" s="253"/>
      <c r="E32" s="255"/>
      <c r="F32" s="255"/>
      <c r="G32" s="255"/>
      <c r="H32" s="247"/>
      <c r="I32" s="89">
        <f t="shared" si="0"/>
        <v>0.64584259525909549</v>
      </c>
      <c r="J32" s="90">
        <f t="shared" si="12"/>
        <v>-10.682429356357936</v>
      </c>
      <c r="K32" s="88">
        <f t="shared" si="13"/>
        <v>-6.8423076923076849</v>
      </c>
      <c r="L32" s="90">
        <f t="shared" si="1"/>
        <v>46.817174556212919</v>
      </c>
      <c r="M32" s="88">
        <f t="shared" si="2"/>
        <v>73.092468557541338</v>
      </c>
      <c r="N32" s="258"/>
      <c r="O32" s="91">
        <f t="shared" si="3"/>
        <v>44.546632069547513</v>
      </c>
      <c r="P32" s="88">
        <f t="shared" si="4"/>
        <v>-8.4357972868104198</v>
      </c>
      <c r="Q32" s="90">
        <f t="shared" si="5"/>
        <v>71.162675864158047</v>
      </c>
      <c r="R32" s="88">
        <f t="shared" si="6"/>
        <v>114.11429695357782</v>
      </c>
      <c r="S32" s="90">
        <f t="shared" si="7"/>
        <v>90.11480858090826</v>
      </c>
      <c r="T32" s="89">
        <f t="shared" si="8"/>
        <v>5.0473556559193558</v>
      </c>
      <c r="U32" s="92">
        <f t="shared" si="9"/>
        <v>2.2466320695475162</v>
      </c>
      <c r="V32" s="69"/>
      <c r="W32" s="69"/>
      <c r="X32" s="69"/>
      <c r="Y32" s="69"/>
      <c r="Z32" s="69"/>
    </row>
    <row r="33" spans="1:26" x14ac:dyDescent="0.2">
      <c r="A33" s="93">
        <v>24</v>
      </c>
      <c r="B33" s="87">
        <v>43.6</v>
      </c>
      <c r="C33" s="88">
        <v>47.3</v>
      </c>
      <c r="D33" s="253"/>
      <c r="E33" s="255"/>
      <c r="F33" s="255"/>
      <c r="G33" s="255"/>
      <c r="H33" s="247"/>
      <c r="I33" s="89">
        <f t="shared" si="0"/>
        <v>0.83881747502402781</v>
      </c>
      <c r="J33" s="90">
        <f t="shared" si="12"/>
        <v>-5.682429356357936</v>
      </c>
      <c r="K33" s="88">
        <f t="shared" si="13"/>
        <v>-2.2423076923076835</v>
      </c>
      <c r="L33" s="90">
        <f t="shared" si="1"/>
        <v>5.0279437869822088</v>
      </c>
      <c r="M33" s="88">
        <f t="shared" si="2"/>
        <v>12.741755056756398</v>
      </c>
      <c r="N33" s="258"/>
      <c r="O33" s="91">
        <f t="shared" si="3"/>
        <v>50.217915686762396</v>
      </c>
      <c r="P33" s="88">
        <f t="shared" si="4"/>
        <v>-2.7645136695955372</v>
      </c>
      <c r="Q33" s="90">
        <f t="shared" si="5"/>
        <v>7.6425358293805834</v>
      </c>
      <c r="R33" s="88">
        <f t="shared" si="6"/>
        <v>32.290003389998468</v>
      </c>
      <c r="S33" s="90">
        <f t="shared" si="7"/>
        <v>15.709153632162485</v>
      </c>
      <c r="T33" s="89">
        <f t="shared" si="8"/>
        <v>8.5142319550540808</v>
      </c>
      <c r="U33" s="92">
        <f t="shared" si="9"/>
        <v>2.9179156867623988</v>
      </c>
      <c r="V33" s="69"/>
      <c r="W33" s="69"/>
      <c r="X33" s="69"/>
      <c r="Y33" s="69"/>
      <c r="Z33" s="69"/>
    </row>
    <row r="34" spans="1:26" x14ac:dyDescent="0.2">
      <c r="A34" s="93">
        <v>26</v>
      </c>
      <c r="B34" s="87">
        <v>49.8</v>
      </c>
      <c r="C34" s="88">
        <v>53.591632653061218</v>
      </c>
      <c r="D34" s="253"/>
      <c r="E34" s="255"/>
      <c r="F34" s="255"/>
      <c r="G34" s="255"/>
      <c r="H34" s="247"/>
      <c r="I34" s="89">
        <f t="shared" si="0"/>
        <v>1.2275568915901636</v>
      </c>
      <c r="J34" s="90">
        <f t="shared" si="12"/>
        <v>0.60920329670328499</v>
      </c>
      <c r="K34" s="88">
        <f t="shared" si="13"/>
        <v>3.9576923076923123</v>
      </c>
      <c r="L34" s="90">
        <f t="shared" si="1"/>
        <v>15.663328402366901</v>
      </c>
      <c r="M34" s="88">
        <f t="shared" si="2"/>
        <v>2.4110392011833883</v>
      </c>
      <c r="N34" s="258"/>
      <c r="O34" s="91">
        <f t="shared" si="3"/>
        <v>57.861819692573746</v>
      </c>
      <c r="P34" s="88">
        <f t="shared" si="4"/>
        <v>4.8793903362158133</v>
      </c>
      <c r="Q34" s="90">
        <f t="shared" si="5"/>
        <v>23.808450053156268</v>
      </c>
      <c r="R34" s="88">
        <f t="shared" si="6"/>
        <v>0.37112865671415068</v>
      </c>
      <c r="S34" s="90">
        <f t="shared" si="7"/>
        <v>2.9725406787248234</v>
      </c>
      <c r="T34" s="89">
        <f t="shared" si="8"/>
        <v>18.234497352420771</v>
      </c>
      <c r="U34" s="92">
        <f t="shared" si="9"/>
        <v>4.2701870395125283</v>
      </c>
      <c r="V34" s="69"/>
      <c r="W34" s="69"/>
      <c r="X34" s="69"/>
      <c r="Y34" s="69"/>
      <c r="Z34" s="69"/>
    </row>
    <row r="35" spans="1:26" x14ac:dyDescent="0.2">
      <c r="A35" s="93">
        <v>27</v>
      </c>
      <c r="B35" s="87">
        <v>46.7</v>
      </c>
      <c r="C35" s="88">
        <v>58.832142857142856</v>
      </c>
      <c r="D35" s="253"/>
      <c r="E35" s="255"/>
      <c r="F35" s="255"/>
      <c r="G35" s="255"/>
      <c r="H35" s="247"/>
      <c r="I35" s="89">
        <f t="shared" si="0"/>
        <v>1.3776423266231517</v>
      </c>
      <c r="J35" s="90">
        <f t="shared" si="12"/>
        <v>5.8497135007849224</v>
      </c>
      <c r="K35" s="88">
        <f t="shared" si="13"/>
        <v>0.85769230769231797</v>
      </c>
      <c r="L35" s="90">
        <f t="shared" si="1"/>
        <v>0.7356360946745738</v>
      </c>
      <c r="M35" s="88">
        <f t="shared" si="2"/>
        <v>5.0172542718271282</v>
      </c>
      <c r="N35" s="258"/>
      <c r="O35" s="91">
        <f t="shared" si="3"/>
        <v>54.039867689668078</v>
      </c>
      <c r="P35" s="88">
        <f t="shared" si="4"/>
        <v>1.0574383333101451</v>
      </c>
      <c r="Q35" s="90">
        <f t="shared" si="5"/>
        <v>1.1181758287537376</v>
      </c>
      <c r="R35" s="88">
        <f t="shared" si="6"/>
        <v>34.219148041265392</v>
      </c>
      <c r="S35" s="90">
        <f t="shared" si="7"/>
        <v>6.1857112946118624</v>
      </c>
      <c r="T35" s="89">
        <f t="shared" si="8"/>
        <v>22.965901280795403</v>
      </c>
      <c r="U35" s="92">
        <f t="shared" si="9"/>
        <v>4.7922751674747772</v>
      </c>
      <c r="V35" s="69"/>
      <c r="W35" s="69"/>
      <c r="X35" s="69"/>
      <c r="Y35" s="69"/>
      <c r="Z35" s="69"/>
    </row>
    <row r="36" spans="1:26" x14ac:dyDescent="0.2">
      <c r="A36" s="93">
        <v>28</v>
      </c>
      <c r="B36" s="87">
        <v>44.3</v>
      </c>
      <c r="C36" s="88">
        <v>55.371428571428574</v>
      </c>
      <c r="D36" s="253"/>
      <c r="E36" s="255"/>
      <c r="F36" s="255"/>
      <c r="G36" s="255"/>
      <c r="H36" s="247"/>
      <c r="I36" s="89">
        <f t="shared" si="0"/>
        <v>1.2333938342774657</v>
      </c>
      <c r="J36" s="90">
        <f t="shared" si="12"/>
        <v>2.3889992150706405</v>
      </c>
      <c r="K36" s="88">
        <f t="shared" si="13"/>
        <v>-1.5423076923076877</v>
      </c>
      <c r="L36" s="90">
        <f t="shared" si="1"/>
        <v>2.378713017751465</v>
      </c>
      <c r="M36" s="88">
        <f t="shared" si="2"/>
        <v>-3.6845718663204767</v>
      </c>
      <c r="N36" s="258"/>
      <c r="O36" s="91">
        <f t="shared" si="3"/>
        <v>51.080937106773348</v>
      </c>
      <c r="P36" s="88">
        <f t="shared" si="4"/>
        <v>-1.9014922495845852</v>
      </c>
      <c r="Q36" s="90">
        <f t="shared" si="5"/>
        <v>3.6156727752302462</v>
      </c>
      <c r="R36" s="88">
        <f t="shared" si="6"/>
        <v>5.7073172496081366</v>
      </c>
      <c r="S36" s="90">
        <f t="shared" si="7"/>
        <v>-4.5426634917204805</v>
      </c>
      <c r="T36" s="89">
        <f t="shared" si="8"/>
        <v>18.408317008279344</v>
      </c>
      <c r="U36" s="92">
        <f t="shared" si="9"/>
        <v>4.2904914646552257</v>
      </c>
      <c r="V36" s="69"/>
      <c r="W36" s="69"/>
      <c r="X36" s="69"/>
      <c r="Y36" s="69"/>
      <c r="Z36" s="69"/>
    </row>
    <row r="37" spans="1:26" x14ac:dyDescent="0.2">
      <c r="A37" s="93">
        <v>30</v>
      </c>
      <c r="B37" s="87">
        <v>49.8</v>
      </c>
      <c r="C37" s="88">
        <v>60.216428571428573</v>
      </c>
      <c r="D37" s="253"/>
      <c r="E37" s="255"/>
      <c r="F37" s="255"/>
      <c r="G37" s="255"/>
      <c r="H37" s="247"/>
      <c r="I37" s="89">
        <f>U37/G$13</f>
        <v>0.6768828459953341</v>
      </c>
      <c r="J37" s="90">
        <f>C37-C$9</f>
        <v>7.2339992150706394</v>
      </c>
      <c r="K37" s="88">
        <f>B37-B$9</f>
        <v>3.9576923076923123</v>
      </c>
      <c r="L37" s="90">
        <f>K37^2</f>
        <v>15.663328402366901</v>
      </c>
      <c r="M37" s="88">
        <f>J37*K37</f>
        <v>28.629943047337296</v>
      </c>
      <c r="N37" s="258"/>
      <c r="O37" s="91">
        <f>B37*D$13+E$13</f>
        <v>57.861819692573746</v>
      </c>
      <c r="P37" s="88">
        <f>O37-O$9</f>
        <v>4.8793903362158133</v>
      </c>
      <c r="Q37" s="90">
        <f>P37^2</f>
        <v>23.808450053156268</v>
      </c>
      <c r="R37" s="88">
        <f>J37^2</f>
        <v>52.330744643642625</v>
      </c>
      <c r="S37" s="90">
        <f>J37*P37</f>
        <v>35.297505862208453</v>
      </c>
      <c r="T37" s="89">
        <f>(C37-O37)^2</f>
        <v>5.5441829723819813</v>
      </c>
      <c r="U37" s="92">
        <f>T37^0.5</f>
        <v>2.3546088788548261</v>
      </c>
      <c r="V37" s="69"/>
      <c r="W37" s="69"/>
      <c r="X37" s="69"/>
      <c r="Y37" s="69"/>
      <c r="Z37" s="69"/>
    </row>
    <row r="38" spans="1:26" ht="13.5" thickBot="1" x14ac:dyDescent="0.25">
      <c r="A38" s="93">
        <v>31</v>
      </c>
      <c r="B38" s="94">
        <v>46.8</v>
      </c>
      <c r="C38" s="95">
        <v>59.227653061224487</v>
      </c>
      <c r="D38" s="254"/>
      <c r="E38" s="256"/>
      <c r="F38" s="256"/>
      <c r="G38" s="256"/>
      <c r="H38" s="248"/>
      <c r="I38" s="96">
        <f>U38/G$13</f>
        <v>1.4558982177797946</v>
      </c>
      <c r="J38" s="77">
        <f>C38-C$9</f>
        <v>6.2452237048665538</v>
      </c>
      <c r="K38" s="95">
        <f>B38-B$9</f>
        <v>0.95769230769231228</v>
      </c>
      <c r="L38" s="77">
        <f>K38^2</f>
        <v>0.91717455621302657</v>
      </c>
      <c r="M38" s="95">
        <f>J38*K38</f>
        <v>5.9810027019683822</v>
      </c>
      <c r="N38" s="259"/>
      <c r="O38" s="97">
        <f>B38*D$13+E$13</f>
        <v>54.163156463955346</v>
      </c>
      <c r="P38" s="95">
        <f>O38-O$9</f>
        <v>1.1807271075974128</v>
      </c>
      <c r="Q38" s="77">
        <f>P38^2</f>
        <v>1.3941165026153526</v>
      </c>
      <c r="R38" s="95">
        <f>J38^2</f>
        <v>39.002819123827123</v>
      </c>
      <c r="S38" s="77">
        <f>J38*P38</f>
        <v>7.3739049213458845</v>
      </c>
      <c r="T38" s="96">
        <f>(C38-O38)^2</f>
        <v>25.649125783750709</v>
      </c>
      <c r="U38" s="98">
        <f>T38^0.5</f>
        <v>5.0644965972691409</v>
      </c>
      <c r="V38" s="69"/>
      <c r="W38" s="69"/>
      <c r="X38" s="69"/>
      <c r="Y38" s="69"/>
      <c r="Z38" s="69"/>
    </row>
    <row r="39" spans="1:26" x14ac:dyDescent="0.2">
      <c r="A39" s="69"/>
      <c r="B39" s="69">
        <v>47</v>
      </c>
      <c r="C39" s="99">
        <v>53.295000000000002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W39" s="69"/>
      <c r="X39" s="69"/>
      <c r="Y39" s="69"/>
      <c r="Z39" s="69"/>
    </row>
    <row r="40" spans="1:26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W40" s="69"/>
      <c r="X40" s="69"/>
      <c r="Y40" s="69"/>
      <c r="Z40" s="69"/>
    </row>
    <row r="41" spans="1:26" x14ac:dyDescent="0.2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W41" s="69"/>
      <c r="X41" s="69"/>
      <c r="Y41" s="69"/>
      <c r="Z41" s="69"/>
    </row>
    <row r="42" spans="1:26" x14ac:dyDescent="0.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 t="s">
        <v>27</v>
      </c>
      <c r="O42" s="69"/>
      <c r="P42" s="69"/>
      <c r="Q42" s="69"/>
      <c r="R42" s="69"/>
      <c r="S42" s="69"/>
      <c r="T42" s="69"/>
      <c r="U42" s="69"/>
      <c r="W42" s="69"/>
      <c r="X42" s="69"/>
      <c r="Y42" s="69"/>
      <c r="Z42" s="69"/>
    </row>
    <row r="43" spans="1:26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 t="s">
        <v>101</v>
      </c>
      <c r="Q43" s="69" t="s">
        <v>102</v>
      </c>
      <c r="R43" s="69" t="s">
        <v>103</v>
      </c>
      <c r="S43" s="69" t="s">
        <v>104</v>
      </c>
      <c r="T43" s="69" t="s">
        <v>105</v>
      </c>
      <c r="U43" s="69"/>
      <c r="W43" s="69"/>
      <c r="X43" s="69"/>
      <c r="Y43" s="69"/>
      <c r="Z43" s="69"/>
    </row>
    <row r="44" spans="1:26" ht="15.75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100">
        <v>1</v>
      </c>
      <c r="N44" s="100">
        <v>582</v>
      </c>
      <c r="O44" s="100"/>
      <c r="P44" s="100">
        <v>45</v>
      </c>
      <c r="Q44" s="101">
        <f t="shared" ref="Q44:Q76" si="14">N44*102*0.95/980</f>
        <v>57.546734693877546</v>
      </c>
      <c r="R44" s="69"/>
      <c r="S44" s="69"/>
      <c r="T44" s="99">
        <v>37.6</v>
      </c>
      <c r="U44" s="69"/>
      <c r="V44" s="69"/>
      <c r="W44" s="69"/>
      <c r="X44" s="69"/>
      <c r="Y44" s="69"/>
      <c r="Z44" s="69"/>
    </row>
    <row r="45" spans="1:26" ht="15.75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100">
        <f>M44+1</f>
        <v>2</v>
      </c>
      <c r="N45" s="100">
        <v>581</v>
      </c>
      <c r="O45" s="102">
        <f>AVERAGE(P44:P46)</f>
        <v>45.733333333333327</v>
      </c>
      <c r="P45" s="100">
        <v>46.1</v>
      </c>
      <c r="Q45" s="101">
        <f t="shared" si="14"/>
        <v>57.447857142857139</v>
      </c>
      <c r="R45" s="99">
        <f>(SUM(Q44:Q46)-MIN(Q44:Q46))/2</f>
        <v>57.645612244897947</v>
      </c>
      <c r="S45" s="103">
        <f>R45*0.8</f>
        <v>46.116489795918362</v>
      </c>
      <c r="T45" s="99">
        <v>37.6</v>
      </c>
      <c r="U45" s="99">
        <f>O45*$D$13+$E$13</f>
        <v>52.848076204891022</v>
      </c>
      <c r="V45" s="99">
        <f>U45-R45</f>
        <v>-4.7975360400069249</v>
      </c>
      <c r="W45" s="103">
        <f>U45*0.8</f>
        <v>42.278460963912821</v>
      </c>
      <c r="X45" s="69"/>
      <c r="Y45" s="69"/>
      <c r="Z45" s="69"/>
    </row>
    <row r="46" spans="1:26" ht="15.75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100">
        <f t="shared" ref="M46:M76" si="15">M45+1</f>
        <v>3</v>
      </c>
      <c r="N46" s="100">
        <v>584</v>
      </c>
      <c r="O46" s="100"/>
      <c r="P46" s="100">
        <v>46.1</v>
      </c>
      <c r="Q46" s="101">
        <f t="shared" si="14"/>
        <v>57.744489795918369</v>
      </c>
      <c r="R46" s="69"/>
      <c r="S46" s="69"/>
      <c r="T46" s="99">
        <v>34.799999999999997</v>
      </c>
      <c r="U46" s="69"/>
      <c r="V46" s="69"/>
      <c r="W46" s="69"/>
      <c r="X46" s="69"/>
      <c r="Y46" s="69"/>
      <c r="Z46" s="69"/>
    </row>
    <row r="47" spans="1:26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>
        <f t="shared" si="15"/>
        <v>4</v>
      </c>
      <c r="N47" s="69">
        <v>588</v>
      </c>
      <c r="O47" s="69"/>
      <c r="P47" s="69">
        <v>52.6</v>
      </c>
      <c r="Q47" s="99">
        <f t="shared" si="14"/>
        <v>58.14</v>
      </c>
      <c r="R47" s="69"/>
      <c r="S47" s="69"/>
      <c r="T47" s="99">
        <v>36.200000000000003</v>
      </c>
      <c r="U47" s="69"/>
      <c r="V47" s="69"/>
      <c r="W47" s="69"/>
      <c r="X47" s="69"/>
      <c r="Y47" s="69"/>
      <c r="Z47" s="69"/>
    </row>
    <row r="48" spans="1:26" ht="15.75" x14ac:dyDescent="0.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>
        <f t="shared" si="15"/>
        <v>5</v>
      </c>
      <c r="N48" s="69">
        <v>586</v>
      </c>
      <c r="O48" s="102">
        <f>AVERAGE(P47:P49)</f>
        <v>52.566666666666663</v>
      </c>
      <c r="P48" s="69">
        <v>53.1</v>
      </c>
      <c r="Q48" s="99">
        <f t="shared" si="14"/>
        <v>57.942244897959178</v>
      </c>
      <c r="R48" s="99">
        <f>(SUM(Q47:Q49)-MIN(Q47:Q49))/2</f>
        <v>58.584948979591843</v>
      </c>
      <c r="S48" s="103">
        <f>R48*0.8</f>
        <v>46.867959183673477</v>
      </c>
      <c r="T48" s="99">
        <v>36.200000000000003</v>
      </c>
      <c r="U48" s="99">
        <f>O48*$D$13+$E$13</f>
        <v>61.27280911452182</v>
      </c>
      <c r="V48" s="99">
        <f>U48-R48</f>
        <v>2.6878601349299771</v>
      </c>
      <c r="W48" s="103">
        <f>U48*0.8</f>
        <v>49.018247291617456</v>
      </c>
      <c r="X48" s="69"/>
      <c r="Y48" s="69"/>
      <c r="Z48" s="69"/>
    </row>
    <row r="49" spans="1:26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>
        <f t="shared" si="15"/>
        <v>6</v>
      </c>
      <c r="N49" s="69">
        <v>597</v>
      </c>
      <c r="O49" s="69"/>
      <c r="P49" s="69">
        <v>52</v>
      </c>
      <c r="Q49" s="99">
        <f t="shared" si="14"/>
        <v>59.029897959183671</v>
      </c>
      <c r="R49" s="69"/>
      <c r="S49" s="69"/>
      <c r="T49" s="99">
        <v>38</v>
      </c>
      <c r="U49" s="69"/>
      <c r="V49" s="69"/>
      <c r="W49" s="69"/>
      <c r="X49" s="69"/>
      <c r="Y49" s="69"/>
      <c r="Z49" s="69"/>
    </row>
    <row r="50" spans="1:26" ht="15.75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100">
        <f t="shared" si="15"/>
        <v>7</v>
      </c>
      <c r="N50" s="100">
        <v>559</v>
      </c>
      <c r="O50" s="100"/>
      <c r="P50" s="100">
        <v>44.5</v>
      </c>
      <c r="Q50" s="101">
        <f t="shared" si="14"/>
        <v>55.272551020408159</v>
      </c>
      <c r="R50" s="69"/>
      <c r="S50" s="69"/>
      <c r="T50" s="99">
        <v>27.6</v>
      </c>
      <c r="U50" s="69"/>
      <c r="V50" s="69"/>
      <c r="W50" s="69"/>
      <c r="X50" s="69"/>
      <c r="Y50" s="69"/>
      <c r="Z50" s="69"/>
    </row>
    <row r="51" spans="1:26" ht="15.75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100">
        <f t="shared" si="15"/>
        <v>8</v>
      </c>
      <c r="N51" s="100">
        <v>558</v>
      </c>
      <c r="O51" s="102">
        <f>AVERAGE(P50:P52)</f>
        <v>46.800000000000004</v>
      </c>
      <c r="P51" s="100">
        <v>47.2</v>
      </c>
      <c r="Q51" s="101">
        <f t="shared" si="14"/>
        <v>55.173673469387751</v>
      </c>
      <c r="R51" s="99">
        <f>(SUM(Q50:Q52)-MIN(Q50:Q52))/2</f>
        <v>55.223112244897962</v>
      </c>
      <c r="S51" s="103">
        <f>R51*0.8</f>
        <v>44.178489795918374</v>
      </c>
      <c r="T51" s="99">
        <v>38</v>
      </c>
      <c r="U51" s="99">
        <f>O51*$D$13+$E$13</f>
        <v>54.16315646395536</v>
      </c>
      <c r="V51" s="99">
        <f>U51-R51</f>
        <v>-1.0599557809426017</v>
      </c>
      <c r="W51" s="103">
        <f>U51*0.8</f>
        <v>43.33052517116429</v>
      </c>
      <c r="X51" s="69"/>
      <c r="Y51" s="69"/>
      <c r="Z51" s="69"/>
    </row>
    <row r="52" spans="1:26" ht="15.75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100">
        <f t="shared" si="15"/>
        <v>9</v>
      </c>
      <c r="N52" s="100">
        <v>547</v>
      </c>
      <c r="O52" s="100"/>
      <c r="P52" s="100">
        <v>48.7</v>
      </c>
      <c r="Q52" s="101">
        <f t="shared" si="14"/>
        <v>54.086020408163257</v>
      </c>
      <c r="R52" s="69"/>
      <c r="S52" s="69"/>
      <c r="T52" s="99">
        <v>24.7</v>
      </c>
      <c r="U52" s="69"/>
      <c r="V52" s="69"/>
      <c r="W52" s="69"/>
      <c r="X52" s="69"/>
      <c r="Y52" s="69"/>
      <c r="Z52" s="69"/>
    </row>
    <row r="53" spans="1:26" x14ac:dyDescent="0.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>
        <f t="shared" si="15"/>
        <v>10</v>
      </c>
      <c r="N53" s="69">
        <v>556</v>
      </c>
      <c r="O53" s="69"/>
      <c r="P53" s="69">
        <v>49.1</v>
      </c>
      <c r="Q53" s="99">
        <f t="shared" si="14"/>
        <v>54.975918367346935</v>
      </c>
      <c r="R53" s="69"/>
      <c r="S53" s="69"/>
      <c r="T53" s="99">
        <v>34.5</v>
      </c>
      <c r="U53" s="69"/>
      <c r="V53" s="69"/>
      <c r="W53" s="69"/>
      <c r="X53" s="69"/>
      <c r="Y53" s="69"/>
      <c r="Z53" s="69"/>
    </row>
    <row r="54" spans="1:26" ht="15.75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>
        <f t="shared" si="15"/>
        <v>11</v>
      </c>
      <c r="N54" s="69">
        <v>552</v>
      </c>
      <c r="O54" s="102">
        <f>AVERAGE(P53:P55)</f>
        <v>48.766666666666673</v>
      </c>
      <c r="P54" s="69">
        <v>47.6</v>
      </c>
      <c r="Q54" s="99">
        <f t="shared" si="14"/>
        <v>54.580408163265304</v>
      </c>
      <c r="R54" s="99">
        <f>(SUM(Q53:Q55)-MIN(Q53:Q55))/2</f>
        <v>55.272551020408159</v>
      </c>
      <c r="S54" s="103">
        <f>R54*0.8</f>
        <v>44.218040816326528</v>
      </c>
      <c r="T54" s="99">
        <v>37.4</v>
      </c>
      <c r="U54" s="99">
        <f>O54*$D$13+$E$13</f>
        <v>56.5878356916052</v>
      </c>
      <c r="V54" s="99">
        <f>U54-R54</f>
        <v>1.3152846711970412</v>
      </c>
      <c r="W54" s="103">
        <f>U54*0.8</f>
        <v>45.270268553284161</v>
      </c>
      <c r="X54" s="69"/>
      <c r="Y54" s="69"/>
      <c r="Z54" s="69"/>
    </row>
    <row r="55" spans="1:26" x14ac:dyDescent="0.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>
        <f t="shared" si="15"/>
        <v>12</v>
      </c>
      <c r="N55" s="69">
        <v>562</v>
      </c>
      <c r="O55" s="69"/>
      <c r="P55" s="69">
        <v>49.6</v>
      </c>
      <c r="Q55" s="99">
        <f t="shared" si="14"/>
        <v>55.569183673469382</v>
      </c>
      <c r="R55" s="69"/>
      <c r="S55" s="69"/>
      <c r="T55" s="99">
        <v>36.6</v>
      </c>
      <c r="U55" s="69"/>
      <c r="V55" s="69"/>
      <c r="W55" s="69"/>
      <c r="X55" s="69"/>
      <c r="Y55" s="69"/>
      <c r="Z55" s="69"/>
    </row>
    <row r="56" spans="1:26" ht="15.75" x14ac:dyDescent="0.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100">
        <f t="shared" si="15"/>
        <v>13</v>
      </c>
      <c r="N56" s="100">
        <v>570</v>
      </c>
      <c r="O56" s="100"/>
      <c r="P56" s="100">
        <v>46.3</v>
      </c>
      <c r="Q56" s="101">
        <f t="shared" si="14"/>
        <v>56.360204081632652</v>
      </c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15.75" x14ac:dyDescent="0.2">
      <c r="A57" s="69" t="s">
        <v>86</v>
      </c>
      <c r="B57" s="104" t="s">
        <v>106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100">
        <f t="shared" si="15"/>
        <v>14</v>
      </c>
      <c r="N57" s="100">
        <v>533</v>
      </c>
      <c r="O57" s="102">
        <f>AVERAGE(P56:P58)</f>
        <v>46.9</v>
      </c>
      <c r="P57" s="100">
        <v>47.3</v>
      </c>
      <c r="Q57" s="101">
        <f t="shared" si="14"/>
        <v>52.701734693877547</v>
      </c>
      <c r="R57" s="99">
        <f>(SUM(Q56:Q58)-MIN(Q56:Q58))/2</f>
        <v>54.926479591836738</v>
      </c>
      <c r="S57" s="103">
        <f>R57*0.8</f>
        <v>43.941183673469396</v>
      </c>
      <c r="T57" s="69"/>
      <c r="U57" s="99">
        <f>O57*$D$13+$E$13</f>
        <v>54.286445238242628</v>
      </c>
      <c r="V57" s="99">
        <f>U57-R57</f>
        <v>-0.64003435359411043</v>
      </c>
      <c r="W57" s="103">
        <f>U57*0.8</f>
        <v>43.429156190594107</v>
      </c>
      <c r="X57" s="69"/>
      <c r="Y57" s="69"/>
      <c r="Z57" s="69"/>
    </row>
    <row r="58" spans="1:26" ht="15.75" x14ac:dyDescent="0.2">
      <c r="A58" s="105" t="s">
        <v>101</v>
      </c>
      <c r="B58" s="106" t="s">
        <v>107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100">
        <f t="shared" si="15"/>
        <v>15</v>
      </c>
      <c r="N58" s="100">
        <v>541</v>
      </c>
      <c r="O58" s="100"/>
      <c r="P58" s="100">
        <v>47.1</v>
      </c>
      <c r="Q58" s="101">
        <f t="shared" si="14"/>
        <v>53.49275510204081</v>
      </c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5.75" x14ac:dyDescent="0.2">
      <c r="A59" s="105" t="s">
        <v>80</v>
      </c>
      <c r="B59" s="106" t="s">
        <v>108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>
        <f t="shared" si="15"/>
        <v>16</v>
      </c>
      <c r="N59" s="69">
        <v>499</v>
      </c>
      <c r="O59" s="69"/>
      <c r="P59" s="69">
        <v>47.2</v>
      </c>
      <c r="Q59" s="99">
        <f t="shared" si="14"/>
        <v>49.339897959183673</v>
      </c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15.75" x14ac:dyDescent="0.2">
      <c r="A60" s="69" t="s">
        <v>87</v>
      </c>
      <c r="B60" s="104" t="s">
        <v>109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>
        <f t="shared" si="15"/>
        <v>17</v>
      </c>
      <c r="N60" s="69">
        <v>506</v>
      </c>
      <c r="O60" s="102">
        <f>AVERAGE(P59:P61)</f>
        <v>45.699999999999996</v>
      </c>
      <c r="P60" s="69">
        <v>46</v>
      </c>
      <c r="Q60" s="99">
        <f t="shared" si="14"/>
        <v>50.032040816326521</v>
      </c>
      <c r="R60" s="99">
        <f>(SUM(Q59:Q61)-MIN(Q59:Q61))/2</f>
        <v>49.685969387755101</v>
      </c>
      <c r="S60" s="103">
        <f>R60*0.8</f>
        <v>39.748775510204084</v>
      </c>
      <c r="T60" s="69"/>
      <c r="U60" s="99">
        <f>O60*$D$13+$E$13</f>
        <v>52.806979946795266</v>
      </c>
      <c r="V60" s="99">
        <f>U60-R60</f>
        <v>3.1210105590401653</v>
      </c>
      <c r="W60" s="103">
        <f>U60*0.8</f>
        <v>42.245583957436217</v>
      </c>
      <c r="X60" s="69"/>
      <c r="Y60" s="69"/>
      <c r="Z60" s="69"/>
    </row>
    <row r="61" spans="1:26" x14ac:dyDescent="0.2">
      <c r="A61" s="69" t="s">
        <v>45</v>
      </c>
      <c r="B61" s="104" t="s">
        <v>110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>
        <f t="shared" si="15"/>
        <v>18</v>
      </c>
      <c r="N61" s="69">
        <v>498</v>
      </c>
      <c r="O61" s="69"/>
      <c r="P61" s="69">
        <v>43.9</v>
      </c>
      <c r="Q61" s="99">
        <f t="shared" si="14"/>
        <v>49.241020408163266</v>
      </c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5.75" x14ac:dyDescent="0.2">
      <c r="A62" s="69" t="s">
        <v>111</v>
      </c>
      <c r="B62" s="104" t="s">
        <v>112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100">
        <f t="shared" si="15"/>
        <v>19</v>
      </c>
      <c r="N62" s="100">
        <v>475</v>
      </c>
      <c r="O62" s="100"/>
      <c r="P62" s="100">
        <v>49.1</v>
      </c>
      <c r="Q62" s="101">
        <f t="shared" si="14"/>
        <v>46.966836734693878</v>
      </c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5.75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100">
        <f t="shared" si="15"/>
        <v>20</v>
      </c>
      <c r="N63" s="100">
        <v>417</v>
      </c>
      <c r="O63" s="102">
        <f>AVERAGE(P62:P64)</f>
        <v>49.833333333333336</v>
      </c>
      <c r="P63" s="100">
        <v>51.8</v>
      </c>
      <c r="Q63" s="101">
        <f t="shared" si="14"/>
        <v>41.231938775510201</v>
      </c>
      <c r="R63" s="99">
        <f>(SUM(Q62:Q64)-MIN(Q62:Q64))/2</f>
        <v>49.142142857142858</v>
      </c>
      <c r="S63" s="103">
        <f>R63*0.8</f>
        <v>39.31371428571429</v>
      </c>
      <c r="T63" s="69"/>
      <c r="U63" s="99">
        <f>O63*$D$13+$E$13</f>
        <v>57.902915950669517</v>
      </c>
      <c r="V63" s="99">
        <f>U63-R63</f>
        <v>8.7607730935266588</v>
      </c>
      <c r="W63" s="103">
        <f>U63*0.8</f>
        <v>46.322332760535616</v>
      </c>
      <c r="X63" s="69"/>
      <c r="Y63" s="69"/>
      <c r="Z63" s="69"/>
    </row>
    <row r="64" spans="1:26" ht="15.75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100">
        <f t="shared" si="15"/>
        <v>21</v>
      </c>
      <c r="N64" s="100">
        <v>519</v>
      </c>
      <c r="O64" s="100"/>
      <c r="P64" s="100">
        <v>48.6</v>
      </c>
      <c r="Q64" s="101">
        <f t="shared" si="14"/>
        <v>51.317448979591838</v>
      </c>
      <c r="R64" s="69"/>
      <c r="S64" s="69"/>
      <c r="T64" s="69"/>
      <c r="U64" s="69"/>
      <c r="V64" s="69"/>
      <c r="W64" s="69"/>
      <c r="X64" s="69"/>
      <c r="Y64" s="69"/>
      <c r="Z64" s="69"/>
    </row>
    <row r="65" spans="1:26" x14ac:dyDescent="0.2">
      <c r="A65" s="69"/>
      <c r="B65" s="107"/>
      <c r="C65" s="103"/>
      <c r="D65" s="69"/>
      <c r="E65" s="69"/>
      <c r="F65" s="69"/>
      <c r="G65" s="69"/>
      <c r="H65" s="69"/>
      <c r="I65" s="69"/>
      <c r="J65" s="69"/>
      <c r="K65" s="69"/>
      <c r="L65" s="69"/>
      <c r="M65" s="69">
        <f t="shared" si="15"/>
        <v>22</v>
      </c>
      <c r="N65" s="69">
        <v>507</v>
      </c>
      <c r="O65" s="69"/>
      <c r="P65" s="69">
        <v>50.2</v>
      </c>
      <c r="Q65" s="99">
        <f t="shared" si="14"/>
        <v>50.130918367346936</v>
      </c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5.75" x14ac:dyDescent="0.2">
      <c r="A66" s="69"/>
      <c r="B66" s="107"/>
      <c r="C66" s="103"/>
      <c r="D66" s="69"/>
      <c r="E66" s="69"/>
      <c r="F66" s="69"/>
      <c r="G66" s="69"/>
      <c r="H66" s="69"/>
      <c r="I66" s="69"/>
      <c r="J66" s="69"/>
      <c r="K66" s="69"/>
      <c r="L66" s="69"/>
      <c r="M66" s="69">
        <f t="shared" si="15"/>
        <v>23</v>
      </c>
      <c r="N66" s="69">
        <v>478</v>
      </c>
      <c r="O66" s="102">
        <f>AVERAGE(P65:P67)</f>
        <v>50.966666666666669</v>
      </c>
      <c r="P66" s="69">
        <v>51.3</v>
      </c>
      <c r="Q66" s="99">
        <f t="shared" si="14"/>
        <v>47.263469387755102</v>
      </c>
      <c r="R66" s="99">
        <f>(SUM(Q65:Q67)-MIN(Q65:Q67))/2</f>
        <v>48.697193877551015</v>
      </c>
      <c r="S66" s="103">
        <f>R66*0.8</f>
        <v>38.957755102040814</v>
      </c>
      <c r="T66" s="69"/>
      <c r="U66" s="99">
        <f>O66*$D$13+$E$13</f>
        <v>59.300188725925352</v>
      </c>
      <c r="V66" s="99">
        <f>U66-R66</f>
        <v>10.602994848374337</v>
      </c>
      <c r="W66" s="103">
        <f>U66*0.8</f>
        <v>47.440150980740285</v>
      </c>
      <c r="X66" s="69"/>
      <c r="Y66" s="69"/>
      <c r="Z66" s="69"/>
    </row>
    <row r="67" spans="1:26" x14ac:dyDescent="0.2">
      <c r="A67" s="69"/>
      <c r="B67" s="107"/>
      <c r="C67" s="103"/>
      <c r="D67" s="69"/>
      <c r="E67" s="69"/>
      <c r="F67" s="69"/>
      <c r="G67" s="69"/>
      <c r="H67" s="69"/>
      <c r="I67" s="69"/>
      <c r="J67" s="69"/>
      <c r="K67" s="69"/>
      <c r="L67" s="69"/>
      <c r="M67" s="69">
        <f t="shared" si="15"/>
        <v>24</v>
      </c>
      <c r="N67" s="69">
        <v>476</v>
      </c>
      <c r="O67" s="69"/>
      <c r="P67" s="69">
        <v>51.4</v>
      </c>
      <c r="Q67" s="99">
        <f t="shared" si="14"/>
        <v>47.065714285714286</v>
      </c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5.75" x14ac:dyDescent="0.2">
      <c r="A68" s="69"/>
      <c r="B68" s="107"/>
      <c r="C68" s="103"/>
      <c r="D68" s="69"/>
      <c r="E68" s="69"/>
      <c r="F68" s="69"/>
      <c r="G68" s="69"/>
      <c r="H68" s="69"/>
      <c r="I68" s="69"/>
      <c r="J68" s="69"/>
      <c r="K68" s="69"/>
      <c r="L68" s="69"/>
      <c r="M68" s="100">
        <f t="shared" si="15"/>
        <v>25</v>
      </c>
      <c r="N68" s="100">
        <v>579</v>
      </c>
      <c r="O68" s="100"/>
      <c r="P68" s="100">
        <v>53.6</v>
      </c>
      <c r="Q68" s="101">
        <f t="shared" si="14"/>
        <v>57.250102040816323</v>
      </c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5.75" x14ac:dyDescent="0.2">
      <c r="A69" s="69"/>
      <c r="B69" s="107"/>
      <c r="C69" s="103"/>
      <c r="D69" s="69"/>
      <c r="E69" s="69"/>
      <c r="F69" s="69"/>
      <c r="G69" s="69"/>
      <c r="H69" s="69"/>
      <c r="I69" s="69"/>
      <c r="J69" s="69"/>
      <c r="K69" s="69"/>
      <c r="L69" s="69"/>
      <c r="M69" s="100">
        <f t="shared" si="15"/>
        <v>26</v>
      </c>
      <c r="N69" s="100">
        <v>588</v>
      </c>
      <c r="O69" s="102">
        <f>AVERAGE(P68:P70)</f>
        <v>49</v>
      </c>
      <c r="P69" s="100">
        <v>43.6</v>
      </c>
      <c r="Q69" s="101">
        <f t="shared" si="14"/>
        <v>58.14</v>
      </c>
      <c r="R69" s="99">
        <f>(SUM(Q68:Q70)-MIN(Q68:Q70))/2</f>
        <v>57.695051020408158</v>
      </c>
      <c r="S69" s="103">
        <f>R69*0.8</f>
        <v>46.156040816326531</v>
      </c>
      <c r="T69" s="69"/>
      <c r="U69" s="99">
        <f>O69*$D$13+$E$13</f>
        <v>56.875509498275512</v>
      </c>
      <c r="V69" s="99">
        <f>U69-R69</f>
        <v>-0.81954152213264564</v>
      </c>
      <c r="W69" s="103">
        <f>U69*0.8</f>
        <v>45.500407598620413</v>
      </c>
      <c r="X69" s="69"/>
      <c r="Y69" s="69"/>
      <c r="Z69" s="69"/>
    </row>
    <row r="70" spans="1:26" ht="15.75" x14ac:dyDescent="0.2">
      <c r="A70" s="69"/>
      <c r="B70" s="107"/>
      <c r="C70" s="103"/>
      <c r="D70" s="69"/>
      <c r="E70" s="69"/>
      <c r="F70" s="69"/>
      <c r="G70" s="69"/>
      <c r="H70" s="69"/>
      <c r="I70" s="69"/>
      <c r="J70" s="69"/>
      <c r="K70" s="69"/>
      <c r="L70" s="69"/>
      <c r="M70" s="100">
        <f t="shared" si="15"/>
        <v>27</v>
      </c>
      <c r="N70" s="100">
        <v>542</v>
      </c>
      <c r="O70" s="100"/>
      <c r="P70" s="100">
        <v>49.8</v>
      </c>
      <c r="Q70" s="101">
        <f t="shared" si="14"/>
        <v>53.591632653061218</v>
      </c>
      <c r="R70" s="69"/>
      <c r="S70" s="69"/>
      <c r="T70" s="69"/>
      <c r="U70" s="69"/>
      <c r="V70" s="69"/>
      <c r="W70" s="69"/>
      <c r="X70" s="69"/>
      <c r="Y70" s="69"/>
      <c r="Z70" s="69"/>
    </row>
    <row r="71" spans="1:26" x14ac:dyDescent="0.2">
      <c r="A71" s="69"/>
      <c r="B71" s="107"/>
      <c r="C71" s="103"/>
      <c r="D71" s="69"/>
      <c r="E71" s="69"/>
      <c r="F71" s="69"/>
      <c r="G71" s="69"/>
      <c r="H71" s="69"/>
      <c r="I71" s="69"/>
      <c r="J71" s="69"/>
      <c r="K71" s="69"/>
      <c r="L71" s="69"/>
      <c r="M71" s="69">
        <f t="shared" si="15"/>
        <v>28</v>
      </c>
      <c r="N71" s="69">
        <v>595</v>
      </c>
      <c r="O71" s="69"/>
      <c r="P71" s="69">
        <v>46.7</v>
      </c>
      <c r="Q71" s="99">
        <f t="shared" si="14"/>
        <v>58.832142857142856</v>
      </c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5.75" x14ac:dyDescent="0.2">
      <c r="A72" s="69"/>
      <c r="B72" s="107"/>
      <c r="C72" s="103"/>
      <c r="D72" s="69"/>
      <c r="E72" s="69"/>
      <c r="F72" s="69"/>
      <c r="G72" s="69"/>
      <c r="H72" s="69"/>
      <c r="I72" s="69"/>
      <c r="J72" s="69"/>
      <c r="K72" s="69"/>
      <c r="L72" s="69"/>
      <c r="M72" s="69">
        <f t="shared" si="15"/>
        <v>29</v>
      </c>
      <c r="N72" s="69">
        <v>560</v>
      </c>
      <c r="O72" s="102">
        <f>AVERAGE(P71:P73)</f>
        <v>45</v>
      </c>
      <c r="P72" s="69">
        <v>44.3</v>
      </c>
      <c r="Q72" s="99">
        <f t="shared" si="14"/>
        <v>55.371428571428574</v>
      </c>
      <c r="R72" s="99">
        <f>(SUM(Q71:Q73)-MIN(Q71:Q73))/2</f>
        <v>59.375969387755106</v>
      </c>
      <c r="S72" s="103">
        <f>R72*0.8</f>
        <v>47.500775510204086</v>
      </c>
      <c r="T72" s="69"/>
      <c r="U72" s="99">
        <f>O72*$D$13+$E$13</f>
        <v>51.943958526784314</v>
      </c>
      <c r="V72" s="99">
        <f>U72-R72</f>
        <v>-7.4320108609707916</v>
      </c>
      <c r="W72" s="103">
        <f>U72*0.8</f>
        <v>41.555166821427456</v>
      </c>
      <c r="X72" s="69"/>
      <c r="Y72" s="69"/>
      <c r="Z72" s="69"/>
    </row>
    <row r="73" spans="1:26" x14ac:dyDescent="0.2">
      <c r="A73" s="69"/>
      <c r="B73" s="107"/>
      <c r="C73" s="103"/>
      <c r="D73" s="69"/>
      <c r="E73" s="69"/>
      <c r="F73" s="69"/>
      <c r="G73" s="69"/>
      <c r="H73" s="69"/>
      <c r="I73" s="69"/>
      <c r="J73" s="69"/>
      <c r="K73" s="69"/>
      <c r="L73" s="69"/>
      <c r="M73" s="69">
        <f t="shared" si="15"/>
        <v>30</v>
      </c>
      <c r="N73" s="69">
        <v>606</v>
      </c>
      <c r="O73" s="69"/>
      <c r="P73" s="69">
        <v>44</v>
      </c>
      <c r="Q73" s="99">
        <f t="shared" si="14"/>
        <v>59.919795918367342</v>
      </c>
      <c r="R73" s="69"/>
      <c r="S73" s="69"/>
      <c r="T73" s="69"/>
      <c r="U73" s="69"/>
      <c r="V73" s="69"/>
      <c r="W73" s="69"/>
      <c r="X73" s="69"/>
      <c r="Y73" s="69"/>
      <c r="Z73" s="69"/>
    </row>
    <row r="74" spans="1:26" ht="15.75" x14ac:dyDescent="0.2">
      <c r="A74" s="69"/>
      <c r="B74" s="107"/>
      <c r="C74" s="103"/>
      <c r="D74" s="69"/>
      <c r="E74" s="69"/>
      <c r="F74" s="69"/>
      <c r="G74" s="69"/>
      <c r="H74" s="69"/>
      <c r="I74" s="69"/>
      <c r="J74" s="69"/>
      <c r="K74" s="69"/>
      <c r="L74" s="69"/>
      <c r="M74" s="100">
        <f t="shared" si="15"/>
        <v>31</v>
      </c>
      <c r="N74" s="100">
        <v>609</v>
      </c>
      <c r="O74" s="100"/>
      <c r="P74" s="100">
        <v>49.8</v>
      </c>
      <c r="Q74" s="101">
        <f t="shared" si="14"/>
        <v>60.216428571428573</v>
      </c>
      <c r="R74" s="69"/>
      <c r="S74" s="69"/>
      <c r="T74" s="69"/>
      <c r="V74" s="69"/>
      <c r="W74" s="69"/>
      <c r="X74" s="69"/>
      <c r="Y74" s="69"/>
      <c r="Z74" s="69"/>
    </row>
    <row r="75" spans="1:26" ht="15.75" x14ac:dyDescent="0.2">
      <c r="A75" s="69"/>
      <c r="B75" s="107"/>
      <c r="C75" s="103"/>
      <c r="D75" s="69"/>
      <c r="E75" s="69"/>
      <c r="F75" s="69"/>
      <c r="G75" s="69"/>
      <c r="H75" s="69"/>
      <c r="I75" s="69"/>
      <c r="J75" s="69"/>
      <c r="K75" s="69"/>
      <c r="L75" s="69"/>
      <c r="M75" s="100">
        <f t="shared" si="15"/>
        <v>32</v>
      </c>
      <c r="N75" s="100">
        <v>599</v>
      </c>
      <c r="O75" s="102">
        <f>AVERAGE(P74:P76)</f>
        <v>47.866666666666667</v>
      </c>
      <c r="P75" s="100">
        <v>46.8</v>
      </c>
      <c r="Q75" s="101">
        <f t="shared" si="14"/>
        <v>59.227653061224487</v>
      </c>
      <c r="R75" s="99">
        <f>(SUM(Q74:Q76)-MIN(Q74:Q76))/2</f>
        <v>59.722040816326519</v>
      </c>
      <c r="S75" s="103">
        <f>R75*0.8</f>
        <v>47.777632653061218</v>
      </c>
      <c r="T75" s="69"/>
      <c r="U75" s="99">
        <f>O75*$D$13+$E$13</f>
        <v>55.47823672301967</v>
      </c>
      <c r="V75" s="99">
        <f>U75-R75</f>
        <v>-4.2438040933068493</v>
      </c>
      <c r="W75" s="103">
        <f>U75*0.8</f>
        <v>44.382589378415737</v>
      </c>
      <c r="X75" s="69"/>
      <c r="Y75" s="69"/>
      <c r="Z75" s="69"/>
    </row>
    <row r="76" spans="1:26" ht="15.75" x14ac:dyDescent="0.2">
      <c r="A76" s="69"/>
      <c r="B76" s="107"/>
      <c r="C76" s="103"/>
      <c r="D76" s="69"/>
      <c r="E76" s="69"/>
      <c r="F76" s="69"/>
      <c r="G76" s="69"/>
      <c r="H76" s="69"/>
      <c r="I76" s="69"/>
      <c r="J76" s="69"/>
      <c r="K76" s="69"/>
      <c r="L76" s="69"/>
      <c r="M76" s="100">
        <f t="shared" si="15"/>
        <v>33</v>
      </c>
      <c r="N76" s="100">
        <v>539</v>
      </c>
      <c r="O76" s="100"/>
      <c r="P76" s="100">
        <v>47</v>
      </c>
      <c r="Q76" s="101">
        <f t="shared" si="14"/>
        <v>53.295000000000002</v>
      </c>
      <c r="R76" s="69"/>
      <c r="S76" s="69"/>
      <c r="T76" s="69"/>
      <c r="U76" s="69"/>
      <c r="W76" s="69"/>
      <c r="X76" s="69"/>
      <c r="Y76" s="69"/>
      <c r="Z76" s="69"/>
    </row>
    <row r="77" spans="1:26" x14ac:dyDescent="0.2">
      <c r="A77" s="69"/>
      <c r="B77" s="107"/>
      <c r="C77" s="103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W77" s="69"/>
      <c r="X77" s="69"/>
      <c r="Y77" s="69"/>
      <c r="Z77" s="69"/>
    </row>
    <row r="78" spans="1:26" ht="15.75" x14ac:dyDescent="0.2">
      <c r="A78" s="69"/>
      <c r="B78" s="107"/>
      <c r="C78" s="103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>
        <v>420</v>
      </c>
      <c r="O78" s="69"/>
      <c r="P78" s="69">
        <v>46.5</v>
      </c>
      <c r="Q78" s="101">
        <f>N78*102*0.95/980</f>
        <v>41.528571428571432</v>
      </c>
      <c r="R78" s="69"/>
      <c r="S78" s="69"/>
      <c r="T78" s="69"/>
      <c r="U78" s="69"/>
      <c r="W78" s="69"/>
      <c r="X78" s="69"/>
      <c r="Y78" s="69"/>
      <c r="Z78" s="69"/>
    </row>
    <row r="79" spans="1:26" ht="15.75" x14ac:dyDescent="0.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>
        <v>424</v>
      </c>
      <c r="O79" s="69"/>
      <c r="P79" s="69">
        <v>47</v>
      </c>
      <c r="Q79" s="101">
        <f>N79*102*0.95/980</f>
        <v>41.924081632653056</v>
      </c>
      <c r="R79" s="99">
        <f>(SUM(Q78:Q80)-MIN(Q78:Q80))/2</f>
        <v>41.726326530612241</v>
      </c>
      <c r="S79" s="103">
        <f>R79*0.8</f>
        <v>33.381061224489791</v>
      </c>
      <c r="T79" s="69"/>
      <c r="U79" s="69"/>
      <c r="W79" s="69"/>
      <c r="X79" s="69"/>
      <c r="Y79" s="69"/>
      <c r="Z79" s="69"/>
    </row>
    <row r="80" spans="1:26" ht="15.75" x14ac:dyDescent="0.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>
        <v>416</v>
      </c>
      <c r="O80" s="69"/>
      <c r="P80" s="69">
        <v>47.6</v>
      </c>
      <c r="Q80" s="101">
        <f>N80*102*0.95/980</f>
        <v>41.133061224489801</v>
      </c>
      <c r="R80" s="69"/>
      <c r="S80" s="69"/>
      <c r="T80" s="69"/>
      <c r="U80" s="69"/>
      <c r="W80" s="69"/>
      <c r="X80" s="69"/>
      <c r="Y80" s="69"/>
      <c r="Z80" s="69"/>
    </row>
    <row r="81" spans="1:26" x14ac:dyDescent="0.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W81" s="69"/>
      <c r="X81" s="69"/>
      <c r="Y81" s="69"/>
      <c r="Z81" s="69"/>
    </row>
    <row r="82" spans="1:26" x14ac:dyDescent="0.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W82" s="69"/>
      <c r="X82" s="69"/>
      <c r="Y82" s="69"/>
      <c r="Z82" s="69"/>
    </row>
    <row r="83" spans="1:26" x14ac:dyDescent="0.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W83" s="69"/>
      <c r="X83" s="69"/>
      <c r="Y83" s="69"/>
      <c r="Z83" s="69"/>
    </row>
    <row r="84" spans="1:26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W84" s="69"/>
      <c r="X84" s="69"/>
      <c r="Y84" s="69"/>
      <c r="Z84" s="69"/>
    </row>
    <row r="85" spans="1:26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W85" s="69"/>
      <c r="X85" s="69"/>
      <c r="Y85" s="69"/>
      <c r="Z85" s="69"/>
    </row>
    <row r="86" spans="1:26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W86" s="69"/>
      <c r="X86" s="69"/>
      <c r="Y86" s="69"/>
      <c r="Z86" s="69"/>
    </row>
    <row r="87" spans="1:26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W87" s="69"/>
      <c r="X87" s="69"/>
      <c r="Y87" s="69"/>
      <c r="Z87" s="69"/>
    </row>
  </sheetData>
  <mergeCells count="21">
    <mergeCell ref="D13:D38"/>
    <mergeCell ref="E13:E38"/>
    <mergeCell ref="F13:F38"/>
    <mergeCell ref="N13:N38"/>
    <mergeCell ref="G11:G12"/>
    <mergeCell ref="I11:I12"/>
    <mergeCell ref="G13:G38"/>
    <mergeCell ref="H11:H12"/>
    <mergeCell ref="A7:O7"/>
    <mergeCell ref="A11:A12"/>
    <mergeCell ref="B11:B12"/>
    <mergeCell ref="C11:C12"/>
    <mergeCell ref="D11:E11"/>
    <mergeCell ref="F11:F12"/>
    <mergeCell ref="J11:M11"/>
    <mergeCell ref="U11:U12"/>
    <mergeCell ref="P11:S11"/>
    <mergeCell ref="N11:N12"/>
    <mergeCell ref="O11:O12"/>
    <mergeCell ref="T11:T12"/>
    <mergeCell ref="H13:H38"/>
  </mergeCells>
  <conditionalFormatting sqref="I13:I38">
    <cfRule type="cellIs" dxfId="25" priority="1" stopIfTrue="1" operator="greaterThan">
      <formula>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W260"/>
  <sheetViews>
    <sheetView tabSelected="1" topLeftCell="A33" zoomScale="62" zoomScaleNormal="62" zoomScaleSheetLayoutView="100" workbookViewId="0">
      <selection activeCell="B80" sqref="B80:E81"/>
    </sheetView>
  </sheetViews>
  <sheetFormatPr defaultRowHeight="13.5" customHeight="1" outlineLevelRow="4" x14ac:dyDescent="0.2"/>
  <cols>
    <col min="1" max="1" width="7.7109375" customWidth="1"/>
    <col min="3" max="3" width="3.42578125" customWidth="1"/>
    <col min="4" max="5" width="18.85546875" customWidth="1"/>
    <col min="6" max="6" width="8.42578125" customWidth="1"/>
    <col min="7" max="7" width="12.85546875" customWidth="1"/>
    <col min="8" max="11" width="9.28515625" customWidth="1"/>
    <col min="12" max="12" width="11.5703125" customWidth="1"/>
    <col min="13" max="16" width="9.28515625" customWidth="1"/>
    <col min="17" max="17" width="10.140625" customWidth="1"/>
    <col min="18" max="18" width="9.28515625" customWidth="1"/>
    <col min="19" max="19" width="10.7109375" customWidth="1"/>
    <col min="20" max="20" width="10.140625" customWidth="1"/>
    <col min="21" max="25" width="9.28515625" customWidth="1"/>
    <col min="26" max="26" width="10.85546875" customWidth="1"/>
    <col min="27" max="27" width="9.28515625" customWidth="1"/>
    <col min="28" max="28" width="9.7109375" customWidth="1"/>
    <col min="29" max="29" width="12.42578125" style="3" customWidth="1"/>
    <col min="30" max="30" width="8.7109375" style="3" customWidth="1"/>
    <col min="31" max="31" width="10.7109375" style="3" customWidth="1"/>
    <col min="32" max="32" width="10.140625" style="3" customWidth="1"/>
    <col min="33" max="33" width="9.28515625" style="3" customWidth="1"/>
    <col min="34" max="34" width="11.42578125" style="3" customWidth="1"/>
    <col min="35" max="52" width="9.28515625" style="3" customWidth="1"/>
    <col min="53" max="62" width="9.7109375" style="3" customWidth="1"/>
    <col min="63" max="101" width="9.140625" style="3"/>
  </cols>
  <sheetData>
    <row r="1" spans="1:65" ht="14.25" customHeight="1" x14ac:dyDescent="0.2">
      <c r="A1" s="9"/>
      <c r="B1" s="9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50">
        <v>4</v>
      </c>
      <c r="AA1" s="150">
        <v>5</v>
      </c>
      <c r="AB1" s="150">
        <v>1</v>
      </c>
      <c r="AC1" s="67">
        <v>3</v>
      </c>
      <c r="AE1" s="12"/>
      <c r="AF1" s="68">
        <v>1</v>
      </c>
      <c r="AG1" s="68">
        <v>1</v>
      </c>
      <c r="AJ1" s="67">
        <v>4</v>
      </c>
      <c r="AK1" s="148">
        <v>4</v>
      </c>
      <c r="AL1" s="148">
        <v>5</v>
      </c>
      <c r="AM1" s="148">
        <v>3</v>
      </c>
      <c r="AO1" s="67">
        <v>4</v>
      </c>
      <c r="AP1" s="67">
        <v>5</v>
      </c>
      <c r="AQ1" s="147">
        <v>3</v>
      </c>
      <c r="AR1" s="145">
        <v>4</v>
      </c>
      <c r="AS1" s="145">
        <v>6</v>
      </c>
      <c r="AT1" s="145">
        <v>30</v>
      </c>
      <c r="AU1" s="17"/>
      <c r="AV1" s="17"/>
      <c r="AW1" s="12">
        <v>9</v>
      </c>
      <c r="AX1" s="12"/>
      <c r="AY1" s="12"/>
      <c r="AZ1" s="12">
        <v>4</v>
      </c>
      <c r="BA1" s="12">
        <v>12</v>
      </c>
      <c r="BB1" s="12">
        <v>31</v>
      </c>
      <c r="BC1" s="12"/>
      <c r="BD1" s="118">
        <v>21</v>
      </c>
      <c r="BE1" s="118">
        <v>12</v>
      </c>
      <c r="BF1" s="118">
        <v>4</v>
      </c>
      <c r="BG1" s="137">
        <v>4</v>
      </c>
      <c r="BH1" s="137">
        <v>11</v>
      </c>
      <c r="BI1" s="137">
        <v>25</v>
      </c>
      <c r="BJ1" s="136">
        <v>4</v>
      </c>
      <c r="BK1" s="136">
        <v>10</v>
      </c>
      <c r="BL1" s="136">
        <v>2</v>
      </c>
      <c r="BM1" s="12"/>
    </row>
    <row r="2" spans="1:65" ht="14.25" customHeight="1" x14ac:dyDescent="0.2">
      <c r="A2" s="9"/>
      <c r="B2" s="9"/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E2" s="12"/>
      <c r="AF2" s="12"/>
      <c r="AG2" s="12"/>
      <c r="AQ2" s="17"/>
      <c r="AR2" s="17"/>
      <c r="AS2" s="17"/>
      <c r="AT2" s="17"/>
      <c r="AU2" s="17"/>
      <c r="AV2" s="17"/>
      <c r="AW2" s="4" t="s">
        <v>20</v>
      </c>
      <c r="AX2" s="5">
        <v>5</v>
      </c>
      <c r="AY2" s="6"/>
      <c r="AZ2" s="6">
        <v>2017</v>
      </c>
      <c r="BA2" s="7" t="s">
        <v>2</v>
      </c>
      <c r="BB2" s="176" t="s">
        <v>2</v>
      </c>
      <c r="BC2" s="12"/>
      <c r="BD2" s="12"/>
      <c r="BE2" s="12" t="s">
        <v>34</v>
      </c>
      <c r="BF2" s="12"/>
      <c r="BG2" s="12"/>
      <c r="BH2" s="12"/>
      <c r="BI2" s="12"/>
      <c r="BJ2" s="12"/>
      <c r="BK2" s="12"/>
      <c r="BL2" s="12"/>
      <c r="BM2" s="12"/>
    </row>
    <row r="3" spans="1:65" ht="14.25" customHeight="1" x14ac:dyDescent="0.2">
      <c r="A3" s="9">
        <v>1</v>
      </c>
      <c r="B3" s="9">
        <v>2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  <c r="AE3" s="12"/>
      <c r="AF3" s="12"/>
      <c r="AG3" s="12"/>
      <c r="AQ3" s="17"/>
      <c r="AR3" s="17"/>
      <c r="AS3" s="17"/>
      <c r="AT3" s="17"/>
      <c r="AU3" s="17"/>
      <c r="AV3" s="17"/>
      <c r="AW3" s="4" t="s">
        <v>21</v>
      </c>
      <c r="AX3" s="5">
        <v>7.5</v>
      </c>
      <c r="AY3" s="6"/>
      <c r="AZ3" s="6">
        <v>2018</v>
      </c>
      <c r="BA3" s="7" t="s">
        <v>3</v>
      </c>
      <c r="BB3" s="176" t="s">
        <v>3</v>
      </c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</row>
    <row r="4" spans="1:65" ht="14.25" customHeight="1" x14ac:dyDescent="0.2">
      <c r="A4" s="9"/>
      <c r="B4" s="9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E4" s="12"/>
      <c r="AF4" s="12"/>
      <c r="AG4" s="12"/>
      <c r="AQ4" s="17"/>
      <c r="AR4" s="17"/>
      <c r="AS4" s="17"/>
      <c r="AT4" s="17"/>
      <c r="AU4" s="36"/>
      <c r="AV4" s="36"/>
      <c r="AW4" s="4" t="s">
        <v>38</v>
      </c>
      <c r="AX4" s="5">
        <v>60</v>
      </c>
      <c r="AY4" s="6"/>
      <c r="AZ4" s="6">
        <v>2019</v>
      </c>
      <c r="BA4" s="8" t="s">
        <v>4</v>
      </c>
      <c r="BB4" s="177" t="s">
        <v>4</v>
      </c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</row>
    <row r="5" spans="1:65" ht="3.75" customHeight="1" x14ac:dyDescent="0.2">
      <c r="A5" s="9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E5" s="12"/>
      <c r="AF5" s="12"/>
      <c r="AG5" s="12"/>
      <c r="AQ5" s="17"/>
      <c r="AR5" s="17"/>
      <c r="AS5" s="17"/>
      <c r="AT5" s="17"/>
      <c r="AU5" s="36"/>
      <c r="AV5" s="36"/>
      <c r="AW5" s="4" t="s">
        <v>22</v>
      </c>
      <c r="AX5" s="5">
        <v>12.5</v>
      </c>
      <c r="AY5" s="6"/>
      <c r="AZ5" s="6">
        <v>2020</v>
      </c>
      <c r="BA5" s="8" t="s">
        <v>5</v>
      </c>
      <c r="BB5" s="177" t="s">
        <v>5</v>
      </c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</row>
    <row r="6" spans="1:65" ht="24" customHeight="1" thickBot="1" x14ac:dyDescent="0.25">
      <c r="A6" s="9"/>
      <c r="C6" s="22"/>
      <c r="D6" s="22"/>
      <c r="E6" s="22"/>
      <c r="F6" s="22"/>
      <c r="G6" s="344" t="s">
        <v>146</v>
      </c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S6" s="17"/>
      <c r="AT6" s="17"/>
      <c r="AU6" s="36"/>
      <c r="AV6" s="36"/>
      <c r="AW6" s="4" t="s">
        <v>23</v>
      </c>
      <c r="AX6" s="5">
        <v>15</v>
      </c>
      <c r="AY6" s="6"/>
      <c r="AZ6" s="6">
        <v>2021</v>
      </c>
      <c r="BA6" s="8" t="s">
        <v>6</v>
      </c>
      <c r="BB6" s="177" t="s">
        <v>6</v>
      </c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</row>
    <row r="7" spans="1:65" ht="25.5" customHeight="1" x14ac:dyDescent="0.2">
      <c r="A7" s="9"/>
      <c r="C7" s="23"/>
      <c r="D7" s="23"/>
      <c r="E7" s="23"/>
      <c r="F7" s="23"/>
      <c r="G7" s="345" t="s">
        <v>147</v>
      </c>
      <c r="H7" s="345"/>
      <c r="I7" s="345"/>
      <c r="J7" s="345"/>
      <c r="K7" s="345"/>
      <c r="L7" s="345"/>
      <c r="M7" s="345"/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S7" s="17"/>
      <c r="AT7" s="17"/>
      <c r="AU7" s="36"/>
      <c r="AV7" s="36"/>
      <c r="AW7" s="4" t="s">
        <v>24</v>
      </c>
      <c r="AX7" s="5">
        <v>20</v>
      </c>
      <c r="AY7" s="6"/>
      <c r="AZ7" s="6">
        <v>2022</v>
      </c>
      <c r="BA7" s="8" t="s">
        <v>7</v>
      </c>
      <c r="BB7" s="177" t="s">
        <v>7</v>
      </c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 spans="1:65" ht="24.75" customHeight="1" x14ac:dyDescent="0.2">
      <c r="A8" s="9"/>
      <c r="C8" s="30"/>
      <c r="D8" s="20"/>
      <c r="E8" s="20"/>
      <c r="F8" s="20"/>
      <c r="G8" s="346" t="s">
        <v>148</v>
      </c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S8" s="17"/>
      <c r="AT8" s="17"/>
      <c r="AU8" s="36"/>
      <c r="AV8" s="36"/>
      <c r="AW8" s="4" t="s">
        <v>25</v>
      </c>
      <c r="AX8" s="5">
        <v>22.2</v>
      </c>
      <c r="AY8" s="6"/>
      <c r="AZ8" s="6">
        <v>2023</v>
      </c>
      <c r="BA8" s="8" t="s">
        <v>8</v>
      </c>
      <c r="BB8" s="177" t="s">
        <v>8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ht="17.25" customHeight="1" x14ac:dyDescent="0.2">
      <c r="A9" s="9"/>
      <c r="C9" s="48"/>
      <c r="D9" s="49"/>
      <c r="E9" s="49"/>
      <c r="F9" s="49"/>
      <c r="G9" s="346"/>
      <c r="H9" s="346"/>
      <c r="I9" s="346"/>
      <c r="J9" s="346"/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S9" s="17"/>
      <c r="AT9" s="17"/>
      <c r="AU9" s="36"/>
      <c r="AV9" s="36"/>
      <c r="AW9" s="4" t="s">
        <v>26</v>
      </c>
      <c r="AX9" s="5">
        <v>25</v>
      </c>
      <c r="AY9" s="6"/>
      <c r="AZ9" s="118">
        <v>5</v>
      </c>
      <c r="BA9" s="8" t="s">
        <v>9</v>
      </c>
      <c r="BB9" s="177" t="s">
        <v>9</v>
      </c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 ht="18.75" customHeight="1" x14ac:dyDescent="0.2">
      <c r="A10" s="9"/>
      <c r="C10" s="48"/>
      <c r="D10" s="49"/>
      <c r="E10" s="49"/>
      <c r="F10" s="49"/>
      <c r="H10" s="347" t="s">
        <v>154</v>
      </c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7"/>
      <c r="AB10" s="59"/>
      <c r="AS10" s="17"/>
      <c r="AT10" s="17"/>
      <c r="AU10" s="36"/>
      <c r="AV10" s="36"/>
      <c r="AW10" s="4" t="s">
        <v>27</v>
      </c>
      <c r="AX10" s="5">
        <v>30</v>
      </c>
      <c r="AY10" s="6"/>
      <c r="AZ10" s="12"/>
      <c r="BA10" s="8" t="s">
        <v>10</v>
      </c>
      <c r="BB10" s="177" t="s">
        <v>10</v>
      </c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ht="6.75" customHeight="1" x14ac:dyDescent="0.2">
      <c r="A11" s="9"/>
      <c r="C11" s="50"/>
      <c r="D11" s="51"/>
      <c r="E11" s="51"/>
      <c r="F11" s="51"/>
      <c r="G11" s="59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/>
      <c r="V11" s="347"/>
      <c r="W11" s="347"/>
      <c r="X11" s="347"/>
      <c r="Y11" s="347"/>
      <c r="Z11" s="347"/>
      <c r="AA11" s="347"/>
      <c r="AB11" s="59"/>
      <c r="AE11" s="12"/>
      <c r="AG11" s="12"/>
      <c r="AS11" s="17"/>
      <c r="AT11" s="17"/>
      <c r="AU11" s="36"/>
      <c r="AV11" s="36"/>
      <c r="AW11" s="4" t="s">
        <v>28</v>
      </c>
      <c r="AX11" s="5">
        <v>35</v>
      </c>
      <c r="AY11" s="6"/>
      <c r="AZ11" s="12"/>
      <c r="BA11" s="8" t="s">
        <v>11</v>
      </c>
      <c r="BB11" s="177" t="s">
        <v>11</v>
      </c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ht="13.5" customHeight="1" x14ac:dyDescent="0.2">
      <c r="A12" s="9"/>
      <c r="C12" s="51"/>
      <c r="D12" s="51"/>
      <c r="E12" s="51"/>
      <c r="F12" s="51"/>
      <c r="G12" s="51"/>
      <c r="H12" s="53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U12" s="334" t="s">
        <v>52</v>
      </c>
      <c r="V12" s="335"/>
      <c r="W12" s="335"/>
      <c r="X12" s="335"/>
      <c r="Y12" s="335"/>
      <c r="Z12" s="335"/>
      <c r="AA12" s="336"/>
      <c r="AB12" s="18"/>
      <c r="AE12" s="12"/>
      <c r="AG12" s="12"/>
      <c r="AI12" s="40" t="s">
        <v>54</v>
      </c>
      <c r="AJ12" s="15">
        <v>9.7000000000000003E-3</v>
      </c>
      <c r="AQ12" s="17"/>
      <c r="AR12" s="143">
        <f>INDEX(AX2:AX15,AW1)</f>
        <v>30</v>
      </c>
      <c r="AS12" s="17"/>
      <c r="AT12" s="17"/>
      <c r="AU12" s="36"/>
      <c r="AV12" s="36"/>
      <c r="AW12" s="4" t="s">
        <v>29</v>
      </c>
      <c r="AX12" s="5">
        <v>40</v>
      </c>
      <c r="AY12" s="6"/>
      <c r="AZ12" s="12"/>
      <c r="BA12" s="8" t="s">
        <v>12</v>
      </c>
      <c r="BB12" s="177" t="s">
        <v>12</v>
      </c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ht="21.75" customHeight="1" x14ac:dyDescent="0.2">
      <c r="A13" s="9"/>
      <c r="D13" s="44"/>
      <c r="E13" s="24" t="s">
        <v>121</v>
      </c>
      <c r="F13" s="44"/>
      <c r="G13" s="44"/>
      <c r="H13" s="44"/>
      <c r="I13" s="44"/>
      <c r="J13" s="44"/>
      <c r="L13" s="111"/>
      <c r="M13" s="44"/>
      <c r="N13" s="124" t="str">
        <f>" № 39-777-32-2/ "&amp; B80 &amp;"-"&amp; F38</f>
        <v xml:space="preserve"> № 39-777-32-2/ 580-35</v>
      </c>
      <c r="O13" s="44"/>
      <c r="P13" s="44"/>
      <c r="Q13" s="44"/>
      <c r="R13" s="44"/>
      <c r="S13" s="44"/>
      <c r="U13" s="334" t="s">
        <v>155</v>
      </c>
      <c r="V13" s="335"/>
      <c r="W13" s="335"/>
      <c r="X13" s="335"/>
      <c r="Y13" s="335"/>
      <c r="Z13" s="335"/>
      <c r="AA13" s="336"/>
      <c r="AB13" s="44"/>
      <c r="AE13" s="12"/>
      <c r="AG13" s="12"/>
      <c r="AI13" s="40" t="s">
        <v>55</v>
      </c>
      <c r="AJ13" s="15">
        <v>-2.99</v>
      </c>
      <c r="AQ13" s="17"/>
      <c r="AR13" s="17"/>
      <c r="AS13" s="17"/>
      <c r="AT13" s="17"/>
      <c r="AU13" s="36"/>
      <c r="AV13" s="36"/>
      <c r="AW13" s="4" t="s">
        <v>30</v>
      </c>
      <c r="AX13" s="5">
        <v>45</v>
      </c>
      <c r="AY13" s="6"/>
      <c r="AZ13" s="12"/>
      <c r="BA13" s="8" t="s">
        <v>13</v>
      </c>
      <c r="BB13" s="177" t="s">
        <v>13</v>
      </c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ht="18.75" customHeight="1" x14ac:dyDescent="0.2">
      <c r="A14" s="9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U14" s="170" t="s">
        <v>129</v>
      </c>
      <c r="V14" s="170" t="s">
        <v>130</v>
      </c>
      <c r="W14" s="170" t="s">
        <v>43</v>
      </c>
      <c r="X14" s="170" t="s">
        <v>131</v>
      </c>
      <c r="Y14" s="170" t="s">
        <v>44</v>
      </c>
      <c r="Z14" s="170" t="s">
        <v>132</v>
      </c>
      <c r="AA14" s="172" t="s">
        <v>45</v>
      </c>
      <c r="AE14" s="12"/>
      <c r="AG14" s="12"/>
      <c r="AI14" s="40" t="s">
        <v>45</v>
      </c>
      <c r="AJ14" s="15">
        <v>0.86</v>
      </c>
      <c r="AQ14" s="17"/>
      <c r="AR14" s="17"/>
      <c r="AS14" s="17"/>
      <c r="AT14" s="17"/>
      <c r="AU14" s="36"/>
      <c r="AV14" s="36"/>
      <c r="AW14" s="4" t="s">
        <v>31</v>
      </c>
      <c r="AX14" s="5">
        <v>50</v>
      </c>
      <c r="AY14" s="6"/>
      <c r="AZ14" s="12"/>
      <c r="BA14" s="118">
        <v>15</v>
      </c>
      <c r="BB14" s="178" t="s">
        <v>14</v>
      </c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ht="16.5" customHeight="1" x14ac:dyDescent="0.3">
      <c r="A15" s="9"/>
      <c r="C15" s="189" t="s">
        <v>140</v>
      </c>
      <c r="D15" s="189"/>
      <c r="E15" s="189"/>
      <c r="F15" s="190"/>
      <c r="G15" s="191"/>
      <c r="H15" s="337" t="s">
        <v>145</v>
      </c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8"/>
      <c r="U15" s="205">
        <f>AJ12</f>
        <v>9.7000000000000003E-3</v>
      </c>
      <c r="V15" s="173">
        <f>AJ13</f>
        <v>-2.99</v>
      </c>
      <c r="W15" s="174">
        <f>AJ15</f>
        <v>2.19</v>
      </c>
      <c r="X15" s="175">
        <f>AJ16</f>
        <v>41.9</v>
      </c>
      <c r="Y15" s="173">
        <f>X15*0.02</f>
        <v>0.83799999999999997</v>
      </c>
      <c r="Z15" s="174">
        <f>((W15^2+Y15^2)^0.5)</f>
        <v>2.3448547929456103</v>
      </c>
      <c r="AA15" s="171">
        <f>AJ14</f>
        <v>0.86</v>
      </c>
      <c r="AE15" s="12"/>
      <c r="AG15" s="12"/>
      <c r="AI15" s="40" t="s">
        <v>56</v>
      </c>
      <c r="AJ15" s="15">
        <v>2.19</v>
      </c>
      <c r="AQ15" s="17"/>
      <c r="AR15" s="17"/>
      <c r="AS15" s="17"/>
      <c r="AT15" s="17"/>
      <c r="AU15" s="17"/>
      <c r="AV15" s="17"/>
      <c r="AW15" s="4" t="s">
        <v>32</v>
      </c>
      <c r="AX15" s="5">
        <v>55</v>
      </c>
      <c r="AY15" s="6"/>
      <c r="AZ15" s="12"/>
      <c r="BA15" s="12"/>
      <c r="BB15" s="177" t="s">
        <v>15</v>
      </c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ht="3" customHeight="1" x14ac:dyDescent="0.3">
      <c r="A16" s="9"/>
      <c r="C16" s="191"/>
      <c r="D16" s="125"/>
      <c r="E16" s="125"/>
      <c r="F16" s="125"/>
      <c r="G16" s="125"/>
      <c r="H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AE16" s="12"/>
      <c r="AG16" s="12"/>
      <c r="AI16" s="40" t="s">
        <v>57</v>
      </c>
      <c r="AJ16" s="15">
        <v>41.9</v>
      </c>
      <c r="AQ16" s="17"/>
      <c r="AR16" s="17"/>
      <c r="AS16" s="17"/>
      <c r="AT16" s="17"/>
      <c r="AU16" s="17"/>
      <c r="AV16" s="17"/>
      <c r="AW16" s="12"/>
      <c r="AX16" s="12"/>
      <c r="AY16" s="12"/>
      <c r="AZ16" s="12"/>
      <c r="BA16" s="12"/>
      <c r="BB16" s="177" t="s">
        <v>16</v>
      </c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101" ht="19.5" customHeight="1" x14ac:dyDescent="0.2">
      <c r="A17" s="9"/>
      <c r="C17" s="339" t="s">
        <v>117</v>
      </c>
      <c r="D17" s="339"/>
      <c r="E17" s="339"/>
      <c r="F17" s="339"/>
      <c r="G17" s="339"/>
      <c r="H17" s="340" t="str">
        <f>INDEX(AF24:AF30,AG1)&amp;";  проектный класс прочности бетона/design strength class of concrete "&amp;INDEX(AW2:AW15,AW1)&amp;" (Вн)"</f>
        <v>Филиал ООО трест "РосСЭМ"/Branch of trest Rossem LLC";  проектный класс прочности бетона/design strength class of concrete В30 (Вн)</v>
      </c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  <c r="AA17" s="340"/>
      <c r="AB17" s="108"/>
      <c r="AQ17" s="17"/>
      <c r="AR17" s="17"/>
      <c r="AS17" s="17"/>
      <c r="AT17" s="17"/>
      <c r="AU17" s="17"/>
      <c r="AV17" s="17"/>
      <c r="AW17" s="12"/>
      <c r="AX17" s="12"/>
      <c r="AY17" s="12"/>
      <c r="AZ17" s="13"/>
      <c r="BA17" s="12"/>
      <c r="BB17" s="177" t="s">
        <v>17</v>
      </c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101" ht="34.5" customHeight="1" x14ac:dyDescent="0.2">
      <c r="A18" s="9"/>
      <c r="C18" s="339" t="s">
        <v>141</v>
      </c>
      <c r="D18" s="339"/>
      <c r="E18" s="339"/>
      <c r="F18" s="339"/>
      <c r="G18" s="339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A18" s="340"/>
      <c r="AB18" s="108"/>
      <c r="AQ18" s="17"/>
      <c r="AR18" s="17"/>
      <c r="AS18" s="17"/>
      <c r="AT18" s="17"/>
      <c r="AU18" s="17"/>
      <c r="AV18" s="17"/>
      <c r="AW18" s="12"/>
      <c r="AX18" s="12"/>
      <c r="AY18" s="12"/>
      <c r="AZ18" s="12"/>
      <c r="BA18" s="12"/>
      <c r="BB18" s="177" t="s">
        <v>18</v>
      </c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101" ht="87.75" customHeight="1" x14ac:dyDescent="0.2">
      <c r="A19" s="9"/>
      <c r="C19" s="341" t="s">
        <v>142</v>
      </c>
      <c r="D19" s="341"/>
      <c r="E19" s="341"/>
      <c r="F19" s="341"/>
      <c r="G19" s="341"/>
      <c r="H19" s="342" t="str">
        <f>X96</f>
        <v>RPR.0120.10UKC.0.KZ.LC0036. Вспомогательное реакторное здание(10UKC). Бетонирование контурных стен  в осях (1-0,900)-(1-0,400)/(C-12,600)-(C+5,600)  с отм. +4,750 до отм. +7,950./ Reactor auxiliary building(10UKC). Concreting boundary walls  in the axes (1-0,900)-(1-0,400)/(C-12,600)-(C+5,600) at elev.  +4,750 to elev.+7,950.</v>
      </c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108"/>
      <c r="AQ19" s="17"/>
      <c r="AR19" s="17"/>
      <c r="AS19" s="17"/>
      <c r="AT19" s="17"/>
      <c r="AU19" s="17"/>
      <c r="AV19" s="17"/>
      <c r="AW19" s="12"/>
      <c r="AX19" s="12"/>
      <c r="AY19" s="12"/>
      <c r="AZ19" s="12"/>
      <c r="BA19" s="12"/>
      <c r="BB19" s="177" t="s">
        <v>53</v>
      </c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101" ht="68.25" hidden="1" customHeight="1" x14ac:dyDescent="0.2">
      <c r="A20" s="9"/>
      <c r="C20" s="341"/>
      <c r="D20" s="341"/>
      <c r="E20" s="341"/>
      <c r="F20" s="341"/>
      <c r="G20" s="341"/>
      <c r="H20" s="342" t="str">
        <f>IF(X98="","-",X98)</f>
        <v>-</v>
      </c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42"/>
      <c r="AB20" s="108"/>
      <c r="AQ20" s="17"/>
      <c r="AR20" s="17"/>
      <c r="AS20" s="17"/>
      <c r="AT20" s="17"/>
      <c r="AU20" s="17"/>
      <c r="AV20" s="17"/>
      <c r="AW20" s="12"/>
      <c r="AX20" s="12"/>
      <c r="AY20" s="12"/>
      <c r="AZ20" s="12"/>
      <c r="BA20" s="12"/>
      <c r="BB20" s="177" t="s">
        <v>19</v>
      </c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101" ht="58.5" hidden="1" customHeight="1" x14ac:dyDescent="0.2">
      <c r="A21" s="9"/>
      <c r="C21" s="341"/>
      <c r="D21" s="341"/>
      <c r="E21" s="341"/>
      <c r="F21" s="341"/>
      <c r="G21" s="341"/>
      <c r="H21" s="342">
        <f>X100</f>
        <v>0</v>
      </c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108"/>
      <c r="AQ21" s="17"/>
      <c r="AR21" s="17"/>
      <c r="AS21" s="17"/>
      <c r="AT21" s="17"/>
      <c r="AU21" s="17"/>
      <c r="AV21" s="17"/>
      <c r="AW21" s="12"/>
      <c r="AX21" s="12"/>
      <c r="AY21" s="12"/>
      <c r="AZ21" s="12"/>
      <c r="BA21" s="12"/>
      <c r="BB21" s="177" t="s">
        <v>58</v>
      </c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101" ht="20.25" hidden="1" customHeight="1" x14ac:dyDescent="0.2">
      <c r="A22" s="9"/>
      <c r="C22" s="341"/>
      <c r="D22" s="341"/>
      <c r="E22" s="341"/>
      <c r="F22" s="341"/>
      <c r="G22" s="341"/>
      <c r="H22" s="325" t="str">
        <f>IF(X100="","-",X100)</f>
        <v>-</v>
      </c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109"/>
      <c r="AP22" s="330"/>
      <c r="AQ22" s="331" t="s">
        <v>46</v>
      </c>
      <c r="AR22" s="332" t="s">
        <v>47</v>
      </c>
      <c r="AS22" s="333" t="s">
        <v>48</v>
      </c>
      <c r="AT22" s="332" t="s">
        <v>49</v>
      </c>
      <c r="AU22" s="333" t="s">
        <v>50</v>
      </c>
      <c r="AV22" s="323" t="s">
        <v>51</v>
      </c>
      <c r="AW22" s="12"/>
      <c r="AX22" s="12"/>
      <c r="AY22" s="12"/>
      <c r="AZ22" s="12"/>
      <c r="BA22" s="12"/>
      <c r="BB22" s="177">
        <v>21</v>
      </c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101" ht="30" hidden="1" customHeight="1" x14ac:dyDescent="0.2">
      <c r="A23" s="9"/>
      <c r="C23" s="341"/>
      <c r="D23" s="341"/>
      <c r="E23" s="341"/>
      <c r="F23" s="341"/>
      <c r="G23" s="341"/>
      <c r="H23" s="325" t="str">
        <f>IF(X101="","-",X101)</f>
        <v>-</v>
      </c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109"/>
      <c r="AP23" s="330"/>
      <c r="AQ23" s="324"/>
      <c r="AR23" s="324"/>
      <c r="AS23" s="324"/>
      <c r="AT23" s="324"/>
      <c r="AU23" s="324"/>
      <c r="AV23" s="324"/>
      <c r="AW23" s="12"/>
      <c r="AX23" s="12"/>
      <c r="AZ23" s="12"/>
      <c r="BA23" s="12"/>
      <c r="BB23" s="177">
        <v>22</v>
      </c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101" ht="25.5" customHeight="1" x14ac:dyDescent="0.2">
      <c r="A24" s="9"/>
      <c r="C24" s="326" t="s">
        <v>143</v>
      </c>
      <c r="D24" s="326"/>
      <c r="E24" s="326"/>
      <c r="F24" s="326"/>
      <c r="G24" s="326"/>
      <c r="H24" s="327" t="s">
        <v>119</v>
      </c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109"/>
      <c r="AF24" s="47" t="s">
        <v>60</v>
      </c>
      <c r="AP24" s="330"/>
      <c r="AQ24" s="17"/>
      <c r="AR24" s="17">
        <f>SQRT(DEVSQ(H40:AA40,H46:AA46,H54:AA54,H58:AA58,H64:AA64)/(COUNT(H40:AA40,H46:AA46,H54:AA54,H58:AA58,H64:AA64)-1))</f>
        <v>1.3603394773287101</v>
      </c>
      <c r="AS24" s="17">
        <f>(AR24+Z15/(SQRT(COUNT(H40:AA40,H46:AA46,H54:AA54,H58:AA58,H64:AA64)-1)))/(0.7*AA15+0.3)</f>
        <v>2.1045300005235381</v>
      </c>
      <c r="AT24" s="17">
        <f>(AS24/(SUM(H40:AA40,H46:AA46,H54:AA54,H58:AA58,H64:AA64)/COUNT(H40:AA40,H46:AA46,H54:AA54,H58:AA58,H64:AA64)))*100</f>
        <v>5.1020405702168183</v>
      </c>
      <c r="AU24" s="17">
        <f>COUNT(H40:AA40,H46:AA46,H54:AA54,H58:AA58,H64:AA64)</f>
        <v>20</v>
      </c>
      <c r="AV24" s="37">
        <f>VLOOKUP(ROUNDUP(AT24,0),AU29:AV39,2)</f>
        <v>1.07</v>
      </c>
      <c r="AW24" s="12"/>
      <c r="AX24" s="12"/>
      <c r="AZ24" s="12"/>
      <c r="BA24" s="12"/>
      <c r="BB24" s="177">
        <v>23</v>
      </c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101" ht="49.5" customHeight="1" x14ac:dyDescent="0.2">
      <c r="A25" s="9"/>
      <c r="C25" s="326"/>
      <c r="D25" s="326"/>
      <c r="E25" s="326"/>
      <c r="F25" s="326"/>
      <c r="G25" s="326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B25" s="31"/>
      <c r="AF25" s="46" t="s">
        <v>61</v>
      </c>
      <c r="AQ25" s="17"/>
      <c r="AR25" s="17" t="e">
        <f>SQRT(DEVSQ(H46:AA46)/(COUNT(H46:AA46)-1))</f>
        <v>#NUM!</v>
      </c>
      <c r="AS25" s="17" t="e">
        <f>(AR25+Z15/(SQRT(COUNT(H46:AA46)-1)))/(0.7*AA15+0.3)</f>
        <v>#NUM!</v>
      </c>
      <c r="AT25" s="17" t="e">
        <f>(AS25/(SUM(H46:AA46)/COUNT(H46:AA46)))*100</f>
        <v>#NUM!</v>
      </c>
      <c r="AU25" s="17">
        <f>COUNT(H46:AA46)</f>
        <v>0</v>
      </c>
      <c r="AV25" s="37" t="e">
        <f>VLOOKUP(ROUNDUP(AT25,0),AU29:AV39,2)</f>
        <v>#NUM!</v>
      </c>
      <c r="AW25" s="12"/>
      <c r="AX25" s="12"/>
      <c r="AZ25" s="12"/>
      <c r="BA25" s="12"/>
      <c r="BB25" s="177">
        <v>24</v>
      </c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101" ht="3" customHeight="1" x14ac:dyDescent="0.2">
      <c r="A26" s="9"/>
      <c r="C26" s="326"/>
      <c r="D26" s="326"/>
      <c r="E26" s="326"/>
      <c r="F26" s="326"/>
      <c r="G26" s="326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27"/>
      <c r="AB26" s="32"/>
      <c r="AF26" s="47" t="s">
        <v>62</v>
      </c>
      <c r="AQ26" s="17"/>
      <c r="AR26" s="17" t="e">
        <f>SQRT(DEVSQ(H54:AA54)/(COUNT(H54:AA54)-1))</f>
        <v>#NUM!</v>
      </c>
      <c r="AS26" s="138" t="e">
        <f>(AR26+Z15/(SQRT(COUNT(H54:AA54)-1)))/(0.7*AA15+0.3)</f>
        <v>#NUM!</v>
      </c>
      <c r="AT26" s="17" t="e">
        <f>(AS26/(SUM(H54:AA54)/COUNT(H54:AA54)))*100</f>
        <v>#NUM!</v>
      </c>
      <c r="AU26" s="17">
        <f>COUNT(H54:AA54)</f>
        <v>0</v>
      </c>
      <c r="AV26" s="37" t="e">
        <f>VLOOKUP(ROUNDUP(AT26,0),AU29:AV39,2)</f>
        <v>#NUM!</v>
      </c>
      <c r="AW26" s="12"/>
      <c r="AX26" s="12"/>
      <c r="AZ26" s="12"/>
      <c r="BA26" s="12"/>
      <c r="BB26" s="177">
        <v>25</v>
      </c>
      <c r="BC26" s="12"/>
      <c r="BD26" s="12"/>
      <c r="BE26" s="12"/>
      <c r="BH26" s="12"/>
      <c r="BI26" s="12"/>
      <c r="BJ26" s="12"/>
      <c r="BK26" s="12"/>
      <c r="BL26" s="12"/>
      <c r="BM26" s="12"/>
    </row>
    <row r="27" spans="1:101" ht="2.25" customHeight="1" x14ac:dyDescent="0.2">
      <c r="A27" s="9"/>
      <c r="C27" s="326"/>
      <c r="D27" s="326"/>
      <c r="E27" s="326"/>
      <c r="F27" s="326"/>
      <c r="G27" s="326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3"/>
      <c r="AF27" s="47"/>
      <c r="AQ27" s="17"/>
      <c r="AR27" s="17" t="e">
        <f>SQRT(DEVSQ(H58:AA58)/(COUNT(H58:AA58)-1))</f>
        <v>#NUM!</v>
      </c>
      <c r="AS27" s="17" t="e">
        <f>(AR27+Z15/(SQRT(COUNT(H58:AA58)-1)))/(0.7*AA15+0.3)</f>
        <v>#NUM!</v>
      </c>
      <c r="AT27" s="17" t="e">
        <f>(AS27/(SUM(H58:AA58)/COUNT(H58:AA58)))*100</f>
        <v>#NUM!</v>
      </c>
      <c r="AU27" s="17">
        <f>COUNT(H58:AA58)</f>
        <v>0</v>
      </c>
      <c r="AV27" s="37" t="e">
        <f>VLOOKUP(ROUNDUP(AT27,0),AU29:AV46,2)</f>
        <v>#NUM!</v>
      </c>
      <c r="AW27" s="12"/>
      <c r="AX27" s="12"/>
      <c r="AZ27" s="12"/>
      <c r="BA27" s="12"/>
      <c r="BB27" s="177">
        <v>26</v>
      </c>
      <c r="BC27" s="12"/>
      <c r="BD27" s="12"/>
      <c r="BE27" s="12"/>
      <c r="BH27" s="12"/>
      <c r="BI27" s="12"/>
      <c r="BJ27" s="12"/>
      <c r="BK27" s="12"/>
      <c r="BL27" s="12"/>
      <c r="BM27" s="12"/>
    </row>
    <row r="28" spans="1:101" ht="18.600000000000001" customHeight="1" x14ac:dyDescent="0.2">
      <c r="A28" s="9"/>
      <c r="C28" s="328" t="s">
        <v>144</v>
      </c>
      <c r="D28" s="328"/>
      <c r="E28" s="328"/>
      <c r="F28" s="328"/>
      <c r="G28" s="328"/>
      <c r="H28" s="329" t="s">
        <v>153</v>
      </c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3"/>
      <c r="AF28" s="46"/>
      <c r="AQ28" s="17"/>
      <c r="AR28" s="17" t="e">
        <f>SQRT(DEVSQ(H64:AA64,#REF!)/(COUNT(H64:AA64,#REF!)-1))</f>
        <v>#REF!</v>
      </c>
      <c r="AS28" s="17" t="e">
        <f>(AR28+Z15/(SQRT(COUNT(H64:AA64,#REF!)-1)))/(0.7*AA15+0.3)</f>
        <v>#REF!</v>
      </c>
      <c r="AT28" s="17" t="e">
        <f>(AS28/(SUM(H64:AA64,#REF!)/COUNT(H64:AA64,#REF!)))*100</f>
        <v>#REF!</v>
      </c>
      <c r="AU28" s="17">
        <f>COUNT(H64:AA64,#REF!,#REF!,#REF!)</f>
        <v>0</v>
      </c>
      <c r="AV28" s="37" t="e">
        <f>VLOOKUP(ROUNDUP(AT28,0),AU29:AV46,2)</f>
        <v>#REF!</v>
      </c>
      <c r="AW28" s="12"/>
      <c r="AX28" s="12"/>
      <c r="AZ28" s="12"/>
      <c r="BA28" s="12"/>
      <c r="BB28" s="177">
        <v>27</v>
      </c>
      <c r="BC28" s="12"/>
      <c r="BD28" s="12"/>
      <c r="BE28" s="12"/>
      <c r="BH28" s="12"/>
      <c r="BI28" s="12"/>
      <c r="BJ28" s="12"/>
      <c r="BK28" s="12"/>
      <c r="BL28" s="12"/>
      <c r="BM28" s="12"/>
    </row>
    <row r="29" spans="1:101" ht="18.600000000000001" customHeight="1" x14ac:dyDescent="0.2">
      <c r="A29" s="9"/>
      <c r="C29" s="328"/>
      <c r="D29" s="328"/>
      <c r="E29" s="328"/>
      <c r="F29" s="328"/>
      <c r="G29" s="328"/>
      <c r="H29" s="329"/>
      <c r="I29" s="329"/>
      <c r="J29" s="329"/>
      <c r="K29" s="329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110"/>
      <c r="AF29" s="47"/>
      <c r="AQ29" s="17"/>
      <c r="AR29" s="17"/>
      <c r="AS29" s="17"/>
      <c r="AT29" s="17"/>
      <c r="AU29" s="17">
        <v>1</v>
      </c>
      <c r="AV29" s="36">
        <v>1.07</v>
      </c>
      <c r="AW29" s="12"/>
      <c r="AX29" s="12"/>
      <c r="AZ29" s="12"/>
      <c r="BA29" s="12"/>
      <c r="BB29" s="177">
        <v>28</v>
      </c>
      <c r="BC29" s="12"/>
      <c r="BD29" s="12"/>
      <c r="BE29" s="12"/>
      <c r="BH29" s="12"/>
      <c r="BI29" s="12"/>
      <c r="BJ29" s="12"/>
      <c r="BK29" s="12"/>
      <c r="BL29" s="12"/>
      <c r="BM29" s="12"/>
    </row>
    <row r="30" spans="1:101" ht="10.5" customHeight="1" x14ac:dyDescent="0.2">
      <c r="A30" s="9"/>
      <c r="C30" s="328"/>
      <c r="D30" s="328"/>
      <c r="E30" s="328"/>
      <c r="F30" s="328"/>
      <c r="G30" s="328"/>
      <c r="H30" s="329"/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110"/>
      <c r="AF30" s="14"/>
      <c r="AJ30" s="12" t="s">
        <v>35</v>
      </c>
      <c r="AQ30" s="17"/>
      <c r="AR30" s="17"/>
      <c r="AS30" s="17"/>
      <c r="AT30" s="17"/>
      <c r="AU30" s="17">
        <v>2</v>
      </c>
      <c r="AV30" s="36">
        <v>1.07</v>
      </c>
      <c r="AW30" s="12"/>
      <c r="AX30" s="12"/>
      <c r="AY30" s="12"/>
      <c r="AZ30" s="12"/>
      <c r="BA30" s="12"/>
      <c r="BB30" s="177">
        <v>29</v>
      </c>
      <c r="BC30" s="12"/>
      <c r="BD30" s="12"/>
      <c r="BE30" s="12"/>
      <c r="BH30" s="12"/>
      <c r="BI30" s="12"/>
      <c r="BJ30" s="12"/>
      <c r="BK30" s="12"/>
      <c r="BL30" s="12"/>
      <c r="BM30" s="12"/>
    </row>
    <row r="31" spans="1:101" s="27" customFormat="1" ht="24.75" customHeight="1" x14ac:dyDescent="0.25">
      <c r="A31" s="9"/>
      <c r="C31" s="192"/>
      <c r="D31" s="193"/>
      <c r="E31" s="193"/>
      <c r="F31" s="193"/>
      <c r="G31" s="193"/>
      <c r="H31" s="193"/>
      <c r="I31" s="193"/>
      <c r="J31" s="194"/>
      <c r="K31" s="194"/>
      <c r="L31" s="194"/>
      <c r="M31" s="194"/>
      <c r="N31" s="194"/>
      <c r="O31" s="195"/>
      <c r="P31" s="194"/>
      <c r="Q31" s="193"/>
      <c r="R31" s="193"/>
      <c r="S31" s="196" t="s">
        <v>118</v>
      </c>
      <c r="T31" s="197" t="str">
        <f>IF(AU24&lt;4,"",ROUND(AT24,2)&amp;"% (п. 5.4 ГОСТ 18105-2018)")</f>
        <v>5,1% (п. 5.4 ГОСТ 18105-2018)</v>
      </c>
      <c r="U31" s="193"/>
      <c r="V31" s="193"/>
      <c r="W31" s="193"/>
      <c r="X31" s="193"/>
      <c r="Y31" s="193"/>
      <c r="Z31" s="193"/>
      <c r="AA31" s="198"/>
      <c r="AB31" s="41"/>
      <c r="AC31" s="3"/>
      <c r="AD31" s="3"/>
      <c r="AE31" s="3"/>
      <c r="AF31" s="16"/>
      <c r="AG31" s="3"/>
      <c r="AH31" s="3"/>
      <c r="AI31" s="3"/>
      <c r="AJ31" s="45" t="s">
        <v>128</v>
      </c>
      <c r="AK31" s="3"/>
      <c r="AL31" s="3"/>
      <c r="AM31" s="3"/>
      <c r="AN31" s="3"/>
      <c r="AO31" s="3"/>
      <c r="AP31" s="3"/>
      <c r="AQ31" s="17"/>
      <c r="AR31" s="17"/>
      <c r="AS31" s="17"/>
      <c r="AT31" s="17"/>
      <c r="AU31" s="17">
        <v>3</v>
      </c>
      <c r="AV31" s="36">
        <v>1.07</v>
      </c>
      <c r="AW31" s="12"/>
      <c r="AX31" s="12"/>
      <c r="AY31" s="12"/>
      <c r="AZ31" s="26"/>
      <c r="BA31" s="26"/>
      <c r="BB31" s="177">
        <v>30</v>
      </c>
      <c r="BC31" s="26"/>
      <c r="BD31" s="26"/>
      <c r="BE31" s="26"/>
      <c r="BF31" s="36"/>
      <c r="BG31" s="36"/>
      <c r="BH31" s="26"/>
      <c r="BI31" s="26"/>
      <c r="BJ31" s="26"/>
      <c r="BK31" s="26"/>
      <c r="BL31" s="26"/>
      <c r="BM31" s="26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</row>
    <row r="32" spans="1:101" s="27" customFormat="1" ht="24.75" customHeight="1" x14ac:dyDescent="0.3">
      <c r="A32" s="9"/>
      <c r="C32" s="192"/>
      <c r="D32" s="199" t="str">
        <f>"Среднеквадратическое отклонение Sm = "&amp;ROUND(AS24,2)&amp;" МПа (п. 5,3 ГОСТ 18105-2018)"</f>
        <v>Среднеквадратическое отклонение Sm = 2,1 МПа (п. 5,3 ГОСТ 18105-2018)</v>
      </c>
      <c r="E32" s="193"/>
      <c r="F32" s="193"/>
      <c r="G32" s="193"/>
      <c r="H32" s="193"/>
      <c r="I32" s="193"/>
      <c r="J32" s="194"/>
      <c r="K32" s="194"/>
      <c r="L32" s="306" t="s">
        <v>159</v>
      </c>
      <c r="M32" s="306"/>
      <c r="N32" s="306"/>
      <c r="O32" s="306"/>
      <c r="P32" s="306"/>
      <c r="Q32" s="306"/>
      <c r="R32" s="200">
        <f>$AV$24</f>
        <v>1.07</v>
      </c>
      <c r="S32" s="307" t="s">
        <v>149</v>
      </c>
      <c r="T32" s="307"/>
      <c r="U32" s="307"/>
      <c r="V32" s="307"/>
      <c r="W32" s="307"/>
      <c r="X32" s="193"/>
      <c r="Y32" s="193"/>
      <c r="Z32" s="193"/>
      <c r="AA32" s="198"/>
      <c r="AB32" s="41"/>
      <c r="AC32" s="3"/>
      <c r="AD32" s="3"/>
      <c r="AE32" s="3"/>
      <c r="AF32" s="16"/>
      <c r="AG32" s="3"/>
      <c r="AH32" s="3"/>
      <c r="AI32" s="3"/>
      <c r="AJ32" s="45" t="s">
        <v>74</v>
      </c>
      <c r="AK32" s="3"/>
      <c r="AL32" s="3"/>
      <c r="AM32" s="3"/>
      <c r="AN32" s="3"/>
      <c r="AO32" s="3"/>
      <c r="AP32" s="3"/>
      <c r="AQ32" s="17"/>
      <c r="AR32" s="17"/>
      <c r="AS32" s="17"/>
      <c r="AT32" s="17"/>
      <c r="AU32" s="17">
        <v>4</v>
      </c>
      <c r="AV32" s="36">
        <v>1.07</v>
      </c>
      <c r="AW32" s="12"/>
      <c r="AX32" s="12"/>
      <c r="AY32" s="12"/>
      <c r="AZ32" s="26"/>
      <c r="BA32" s="26"/>
      <c r="BB32" s="177">
        <v>31</v>
      </c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</row>
    <row r="33" spans="1:101" s="27" customFormat="1" ht="23.25" customHeight="1" x14ac:dyDescent="0.25">
      <c r="A33" s="9"/>
      <c r="C33" s="201" t="s">
        <v>59</v>
      </c>
      <c r="D33" s="201"/>
      <c r="E33" s="201"/>
      <c r="F33" s="201"/>
      <c r="G33" s="201"/>
      <c r="H33" s="202" t="s">
        <v>113</v>
      </c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203"/>
      <c r="X33" s="203"/>
      <c r="Y33" s="203"/>
      <c r="Z33" s="203"/>
      <c r="AA33" s="203"/>
      <c r="AB33" s="151"/>
      <c r="AC33" s="25"/>
      <c r="AD33" s="25"/>
      <c r="AE33" s="25"/>
      <c r="AF33" s="25"/>
      <c r="AG33" s="25"/>
      <c r="AH33" s="25"/>
      <c r="AI33" s="25"/>
      <c r="AJ33" s="184" t="s">
        <v>137</v>
      </c>
      <c r="AK33" s="25"/>
      <c r="AL33" s="25"/>
      <c r="AM33" s="25"/>
      <c r="AN33" s="25"/>
      <c r="AO33" s="25"/>
      <c r="AP33" s="25"/>
      <c r="AQ33" s="38"/>
      <c r="AR33" s="38"/>
      <c r="AS33" s="38"/>
      <c r="AT33" s="38"/>
      <c r="AU33" s="17">
        <v>5</v>
      </c>
      <c r="AV33" s="36">
        <v>1.07</v>
      </c>
      <c r="AW33" s="26"/>
      <c r="AX33" s="26"/>
      <c r="AY33" s="26"/>
      <c r="AZ33" s="38"/>
      <c r="BA33" s="38"/>
      <c r="BB33" s="179">
        <v>4</v>
      </c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</row>
    <row r="34" spans="1:101" s="27" customFormat="1" ht="1.5" customHeight="1" thickBot="1" x14ac:dyDescent="0.25">
      <c r="A34" s="9"/>
      <c r="C34" s="209"/>
      <c r="D34" s="209"/>
      <c r="E34" s="209"/>
      <c r="F34" s="209"/>
      <c r="G34" s="209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5"/>
      <c r="V34" s="55"/>
      <c r="W34" s="42"/>
      <c r="X34" s="42"/>
      <c r="Y34" s="42"/>
      <c r="Z34" s="42"/>
      <c r="AA34" s="42"/>
      <c r="AB34" s="151"/>
      <c r="AC34" s="25"/>
      <c r="AD34" s="25"/>
      <c r="AE34" s="25"/>
      <c r="AF34" s="25"/>
      <c r="AG34" s="25"/>
      <c r="AH34" s="25"/>
      <c r="AI34" s="25"/>
      <c r="AJ34" s="45" t="s">
        <v>156</v>
      </c>
      <c r="AK34" s="25"/>
      <c r="AL34" s="25"/>
      <c r="AM34" s="25"/>
      <c r="AN34" s="25"/>
      <c r="AO34" s="66">
        <v>4</v>
      </c>
      <c r="AP34" s="25"/>
      <c r="AQ34" s="38"/>
      <c r="AR34" s="38"/>
      <c r="AS34" s="38"/>
      <c r="AT34" s="38"/>
      <c r="AU34" s="36">
        <v>6</v>
      </c>
      <c r="AV34" s="36">
        <v>1.07</v>
      </c>
      <c r="AW34" s="38"/>
      <c r="AX34" s="38"/>
      <c r="AY34" s="38"/>
      <c r="AZ34" s="38"/>
      <c r="BA34" s="38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</row>
    <row r="35" spans="1:101" s="27" customFormat="1" ht="30" customHeight="1" x14ac:dyDescent="0.25">
      <c r="A35" s="9"/>
      <c r="C35" s="308" t="s">
        <v>39</v>
      </c>
      <c r="D35" s="311" t="s">
        <v>120</v>
      </c>
      <c r="E35" s="311" t="s">
        <v>114</v>
      </c>
      <c r="F35" s="313" t="s">
        <v>151</v>
      </c>
      <c r="G35" s="314" t="s">
        <v>116</v>
      </c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6"/>
      <c r="AB35" s="151"/>
      <c r="AC35" s="25"/>
      <c r="AD35" s="25"/>
      <c r="AE35" s="25"/>
      <c r="AF35" s="25"/>
      <c r="AG35" s="25"/>
      <c r="AH35" s="25"/>
      <c r="AI35" s="25"/>
      <c r="AJ35" s="45" t="s">
        <v>135</v>
      </c>
      <c r="AK35" s="25"/>
      <c r="AL35" s="25"/>
      <c r="AM35" s="25"/>
      <c r="AN35" s="25"/>
      <c r="AO35" s="129" t="s">
        <v>122</v>
      </c>
      <c r="AP35" s="25"/>
      <c r="AQ35" s="38"/>
      <c r="AR35" s="38"/>
      <c r="AS35" s="38"/>
      <c r="AT35" s="38"/>
      <c r="AU35" s="36">
        <v>7</v>
      </c>
      <c r="AV35" s="36">
        <v>1.08</v>
      </c>
      <c r="AW35" s="38"/>
      <c r="AX35" s="38"/>
      <c r="AY35" s="38"/>
      <c r="AZ35" s="38"/>
      <c r="BA35" s="38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</row>
    <row r="36" spans="1:101" s="27" customFormat="1" ht="30" customHeight="1" x14ac:dyDescent="0.25">
      <c r="A36" s="9"/>
      <c r="C36" s="309"/>
      <c r="D36" s="304"/>
      <c r="E36" s="304"/>
      <c r="F36" s="304"/>
      <c r="G36" s="317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9"/>
      <c r="AB36" s="151"/>
      <c r="AC36" s="25"/>
      <c r="AD36" s="25"/>
      <c r="AE36" s="25"/>
      <c r="AF36" s="25"/>
      <c r="AG36" s="25"/>
      <c r="AH36" s="25"/>
      <c r="AI36" s="25"/>
      <c r="AJ36" s="184" t="s">
        <v>138</v>
      </c>
      <c r="AK36" s="25"/>
      <c r="AL36" s="25"/>
      <c r="AM36" s="25"/>
      <c r="AN36" s="25"/>
      <c r="AO36" s="129" t="s">
        <v>158</v>
      </c>
      <c r="AP36" s="25"/>
      <c r="AQ36" s="38"/>
      <c r="AR36" s="38"/>
      <c r="AS36" s="38"/>
      <c r="AT36" s="38"/>
      <c r="AU36" s="36">
        <v>8</v>
      </c>
      <c r="AV36" s="36">
        <v>1.0900000000000001</v>
      </c>
      <c r="AW36" s="38"/>
      <c r="AX36" s="38"/>
      <c r="AY36" s="38"/>
      <c r="AZ36" s="38"/>
      <c r="BA36" s="38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</row>
    <row r="37" spans="1:101" s="27" customFormat="1" ht="30" customHeight="1" x14ac:dyDescent="0.25">
      <c r="A37" s="9"/>
      <c r="C37" s="310"/>
      <c r="D37" s="312"/>
      <c r="E37" s="312"/>
      <c r="F37" s="312"/>
      <c r="G37" s="320"/>
      <c r="H37" s="321"/>
      <c r="I37" s="321"/>
      <c r="J37" s="321"/>
      <c r="K37" s="321"/>
      <c r="L37" s="321"/>
      <c r="M37" s="321"/>
      <c r="N37" s="321"/>
      <c r="O37" s="321"/>
      <c r="P37" s="321"/>
      <c r="Q37" s="321"/>
      <c r="R37" s="321"/>
      <c r="S37" s="321"/>
      <c r="T37" s="321"/>
      <c r="U37" s="321"/>
      <c r="V37" s="321"/>
      <c r="W37" s="321"/>
      <c r="X37" s="321"/>
      <c r="Y37" s="321"/>
      <c r="Z37" s="321"/>
      <c r="AA37" s="322"/>
      <c r="AB37" s="151"/>
      <c r="AC37" s="25"/>
      <c r="AD37" s="262" t="s">
        <v>160</v>
      </c>
      <c r="AE37" s="263"/>
      <c r="AF37" s="263"/>
      <c r="AG37" s="25"/>
      <c r="AH37" s="25"/>
      <c r="AI37" s="25"/>
      <c r="AJ37" s="184" t="s">
        <v>139</v>
      </c>
      <c r="AK37" s="25"/>
      <c r="AL37" s="25"/>
      <c r="AM37" s="25"/>
      <c r="AN37" s="25"/>
      <c r="AO37" s="129" t="s">
        <v>123</v>
      </c>
      <c r="AP37" s="25"/>
      <c r="AQ37" s="38"/>
      <c r="AR37" s="38"/>
      <c r="AS37" s="38"/>
      <c r="AT37" s="38"/>
      <c r="AU37" s="36">
        <v>9</v>
      </c>
      <c r="AV37" s="36">
        <v>1.1100000000000001</v>
      </c>
      <c r="AW37" s="38"/>
      <c r="AX37" s="38"/>
      <c r="AY37" s="38"/>
      <c r="AZ37" s="38"/>
      <c r="BA37" s="38"/>
      <c r="BB37" s="38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</row>
    <row r="38" spans="1:101" s="27" customFormat="1" ht="30" customHeight="1" x14ac:dyDescent="0.25">
      <c r="A38" s="9"/>
      <c r="C38" s="295">
        <v>1</v>
      </c>
      <c r="D38" s="292" t="str">
        <f>AD38&amp;"."&amp;AF38&amp;"."&amp;AH38</f>
        <v>31.12.2020</v>
      </c>
      <c r="E38" s="293" t="str">
        <f>AD66&amp;"."&amp;AF66&amp;"."&amp;AH66</f>
        <v>04.02.2021</v>
      </c>
      <c r="F38" s="294">
        <f>IF(D38="","",E38-D38)</f>
        <v>35</v>
      </c>
      <c r="G38" s="211" t="s">
        <v>40</v>
      </c>
      <c r="H38" s="122">
        <v>1</v>
      </c>
      <c r="I38" s="122">
        <v>2</v>
      </c>
      <c r="J38" s="122">
        <v>3</v>
      </c>
      <c r="K38" s="122">
        <v>4</v>
      </c>
      <c r="L38" s="122">
        <v>5</v>
      </c>
      <c r="M38" s="122">
        <v>6</v>
      </c>
      <c r="N38" s="122">
        <v>7</v>
      </c>
      <c r="O38" s="122">
        <v>8</v>
      </c>
      <c r="P38" s="122">
        <v>9</v>
      </c>
      <c r="Q38" s="122">
        <v>10</v>
      </c>
      <c r="R38" s="122">
        <v>11</v>
      </c>
      <c r="S38" s="122">
        <v>12</v>
      </c>
      <c r="T38" s="152">
        <v>13</v>
      </c>
      <c r="U38" s="152">
        <v>14</v>
      </c>
      <c r="V38" s="152">
        <v>15</v>
      </c>
      <c r="W38" s="152">
        <v>16</v>
      </c>
      <c r="X38" s="152">
        <v>17</v>
      </c>
      <c r="Y38" s="152">
        <v>18</v>
      </c>
      <c r="Z38" s="152">
        <v>19</v>
      </c>
      <c r="AA38" s="208">
        <v>20</v>
      </c>
      <c r="AB38" s="151"/>
      <c r="AC38" s="25"/>
      <c r="AD38" s="237">
        <v>31</v>
      </c>
      <c r="AE38" s="25"/>
      <c r="AF38" s="237" t="s">
        <v>13</v>
      </c>
      <c r="AG38" s="25"/>
      <c r="AH38" s="237">
        <v>2020</v>
      </c>
      <c r="AI38" s="25"/>
      <c r="AJ38" s="25"/>
      <c r="AK38" s="25"/>
      <c r="AL38" s="25"/>
      <c r="AM38" s="25"/>
      <c r="AN38" s="25"/>
      <c r="AO38" s="129" t="s">
        <v>124</v>
      </c>
      <c r="AP38" s="25"/>
      <c r="AQ38" s="38"/>
      <c r="AR38" s="38"/>
      <c r="AS38" s="38"/>
      <c r="AT38" s="38"/>
      <c r="AU38" s="36">
        <v>10</v>
      </c>
      <c r="AV38" s="36">
        <v>1.1399999999999999</v>
      </c>
      <c r="AW38" s="38"/>
      <c r="AX38" s="38"/>
      <c r="AY38" s="38"/>
      <c r="AZ38" s="38"/>
      <c r="BA38" s="38"/>
      <c r="BB38" s="38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</row>
    <row r="39" spans="1:101" s="27" customFormat="1" ht="30" customHeight="1" x14ac:dyDescent="0.25">
      <c r="A39" s="146"/>
      <c r="C39" s="295"/>
      <c r="D39" s="292"/>
      <c r="E39" s="293"/>
      <c r="F39" s="294"/>
      <c r="G39" s="210" t="s">
        <v>41</v>
      </c>
      <c r="H39" s="154">
        <f>IF(I79="","-",I79)</f>
        <v>4764</v>
      </c>
      <c r="I39" s="154">
        <f>IF(I80="","-",I80)</f>
        <v>4449</v>
      </c>
      <c r="J39" s="154">
        <f>IF(I81="","-",I81)</f>
        <v>4746</v>
      </c>
      <c r="K39" s="154">
        <f>IF(I82="","-",I82)</f>
        <v>4637</v>
      </c>
      <c r="L39" s="154">
        <f>IF(I83="","-",I83)</f>
        <v>4654</v>
      </c>
      <c r="M39" s="154">
        <f>IF(I84="","-",I84)</f>
        <v>4636</v>
      </c>
      <c r="N39" s="154">
        <f>IF(I85="","-",I85)</f>
        <v>4450</v>
      </c>
      <c r="O39" s="154">
        <f>IF(I86="","-",I86)</f>
        <v>4690</v>
      </c>
      <c r="P39" s="154">
        <f>IF(I87="","-",I87)</f>
        <v>4600</v>
      </c>
      <c r="Q39" s="154">
        <f>IF(I88="","-",I88)</f>
        <v>4432</v>
      </c>
      <c r="R39" s="154">
        <f>IF(I89="","-",I89)</f>
        <v>4745</v>
      </c>
      <c r="S39" s="154">
        <f>IF(I90="","-",I90)</f>
        <v>4230</v>
      </c>
      <c r="T39" s="153">
        <f>IF(I91="","-",I91)</f>
        <v>4689</v>
      </c>
      <c r="U39" s="153">
        <f>IF(I92="","-",I92)</f>
        <v>4448</v>
      </c>
      <c r="V39" s="153">
        <f>IF(I93="","-",I93)</f>
        <v>4481</v>
      </c>
      <c r="W39" s="153">
        <f>IF(I94="","-",I94)</f>
        <v>4549</v>
      </c>
      <c r="X39" s="153">
        <f>IF(I95="","-",I95)</f>
        <v>4532</v>
      </c>
      <c r="Y39" s="153">
        <f>IF(I96="","-",I96)</f>
        <v>4618</v>
      </c>
      <c r="Z39" s="153">
        <f>IF(I97="","-",I97)</f>
        <v>4464</v>
      </c>
      <c r="AA39" s="206">
        <f>IF(I98="","-",I98)</f>
        <v>4400</v>
      </c>
      <c r="AB39" s="151"/>
      <c r="AC39" s="25"/>
      <c r="AD39" s="260" t="str">
        <f>AD38&amp;"."&amp;AF38&amp;"."&amp;AH38</f>
        <v>31.12.2020</v>
      </c>
      <c r="AE39" s="261"/>
      <c r="AF39" s="261"/>
      <c r="AG39" s="261"/>
      <c r="AH39" s="261"/>
      <c r="AI39" s="25"/>
      <c r="AJ39" s="25"/>
      <c r="AK39" s="25"/>
      <c r="AL39" s="25"/>
      <c r="AM39" s="25"/>
      <c r="AN39" s="25"/>
      <c r="AO39" s="129" t="s">
        <v>125</v>
      </c>
      <c r="AP39" s="25"/>
      <c r="AQ39" s="38"/>
      <c r="AR39" s="38"/>
      <c r="AS39" s="38"/>
      <c r="AT39" s="38"/>
      <c r="AU39" s="36">
        <v>11</v>
      </c>
      <c r="AV39" s="36">
        <v>1.18</v>
      </c>
      <c r="AW39" s="38"/>
      <c r="AX39" s="38"/>
      <c r="AY39" s="38"/>
      <c r="AZ39" s="38"/>
      <c r="BA39" s="38"/>
      <c r="BB39" s="38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</row>
    <row r="40" spans="1:101" s="27" customFormat="1" ht="30" customHeight="1" x14ac:dyDescent="0.25">
      <c r="A40" s="146"/>
      <c r="C40" s="295"/>
      <c r="D40" s="292"/>
      <c r="E40" s="293"/>
      <c r="F40" s="294"/>
      <c r="G40" s="222" t="s">
        <v>42</v>
      </c>
      <c r="H40" s="213">
        <f t="shared" ref="H40:AA40" si="0">IF(H39="-","-",$V$15+H39*$U$15)</f>
        <v>43.220799999999997</v>
      </c>
      <c r="I40" s="213">
        <f t="shared" si="0"/>
        <v>40.165300000000002</v>
      </c>
      <c r="J40" s="213">
        <f t="shared" si="0"/>
        <v>43.046199999999999</v>
      </c>
      <c r="K40" s="213">
        <f t="shared" si="0"/>
        <v>41.988900000000001</v>
      </c>
      <c r="L40" s="213">
        <f t="shared" si="0"/>
        <v>42.153799999999997</v>
      </c>
      <c r="M40" s="213">
        <f t="shared" si="0"/>
        <v>41.979199999999999</v>
      </c>
      <c r="N40" s="213">
        <f t="shared" si="0"/>
        <v>40.174999999999997</v>
      </c>
      <c r="O40" s="213">
        <f t="shared" si="0"/>
        <v>42.503</v>
      </c>
      <c r="P40" s="213">
        <f t="shared" si="0"/>
        <v>41.63</v>
      </c>
      <c r="Q40" s="213">
        <f t="shared" si="0"/>
        <v>40.000399999999999</v>
      </c>
      <c r="R40" s="213">
        <f t="shared" si="0"/>
        <v>43.036499999999997</v>
      </c>
      <c r="S40" s="213">
        <f t="shared" si="0"/>
        <v>38.040999999999997</v>
      </c>
      <c r="T40" s="214">
        <f t="shared" si="0"/>
        <v>42.493299999999998</v>
      </c>
      <c r="U40" s="214">
        <f t="shared" si="0"/>
        <v>40.1556</v>
      </c>
      <c r="V40" s="214">
        <f t="shared" si="0"/>
        <v>40.475699999999996</v>
      </c>
      <c r="W40" s="214">
        <f t="shared" si="0"/>
        <v>41.135300000000001</v>
      </c>
      <c r="X40" s="214">
        <f t="shared" si="0"/>
        <v>40.970399999999998</v>
      </c>
      <c r="Y40" s="214">
        <f t="shared" si="0"/>
        <v>41.804600000000001</v>
      </c>
      <c r="Z40" s="214">
        <f t="shared" si="0"/>
        <v>40.3108</v>
      </c>
      <c r="AA40" s="215">
        <f t="shared" si="0"/>
        <v>39.69</v>
      </c>
      <c r="AB40" s="151"/>
      <c r="AC40" s="25"/>
      <c r="AD40" s="262" t="s">
        <v>161</v>
      </c>
      <c r="AE40" s="263"/>
      <c r="AF40" s="263"/>
      <c r="AG40" s="25"/>
      <c r="AH40" s="25"/>
      <c r="AI40" s="25"/>
      <c r="AJ40" s="25"/>
      <c r="AK40" s="25"/>
      <c r="AL40" s="25"/>
      <c r="AM40" s="25"/>
      <c r="AN40" s="25"/>
      <c r="AO40" s="129"/>
      <c r="AP40" s="25"/>
      <c r="AQ40" s="38"/>
      <c r="AR40" s="38"/>
      <c r="AS40" s="38"/>
      <c r="AT40" s="38"/>
      <c r="AU40" s="36">
        <v>12</v>
      </c>
      <c r="AV40" s="36">
        <v>1.23</v>
      </c>
      <c r="AW40" s="38"/>
      <c r="AX40" s="38"/>
      <c r="AY40" s="38"/>
      <c r="AZ40" s="38"/>
      <c r="BA40" s="38"/>
      <c r="BB40" s="38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</row>
    <row r="41" spans="1:101" s="27" customFormat="1" ht="18" hidden="1" customHeight="1" outlineLevel="1" x14ac:dyDescent="0.2">
      <c r="A41" s="9"/>
      <c r="C41" s="284" t="s">
        <v>39</v>
      </c>
      <c r="D41" s="285" t="s">
        <v>120</v>
      </c>
      <c r="E41" s="286" t="s">
        <v>114</v>
      </c>
      <c r="F41" s="287" t="s">
        <v>151</v>
      </c>
      <c r="G41" s="299" t="s">
        <v>116</v>
      </c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1"/>
      <c r="AB41" s="151"/>
      <c r="AC41" s="25"/>
      <c r="AD41" s="28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38"/>
      <c r="AR41" s="38"/>
      <c r="AS41" s="38"/>
      <c r="AT41" s="38"/>
      <c r="AU41" s="36">
        <v>13</v>
      </c>
      <c r="AV41" s="36">
        <v>1.28</v>
      </c>
      <c r="AW41" s="38"/>
      <c r="AX41" s="38"/>
      <c r="AY41" s="38"/>
      <c r="AZ41" s="38"/>
      <c r="BA41" s="38"/>
      <c r="BB41" s="38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</row>
    <row r="42" spans="1:101" s="27" customFormat="1" ht="18" hidden="1" customHeight="1" outlineLevel="1" x14ac:dyDescent="0.2">
      <c r="A42" s="9"/>
      <c r="C42" s="303"/>
      <c r="D42" s="304"/>
      <c r="E42" s="305"/>
      <c r="F42" s="304"/>
      <c r="G42" s="302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1"/>
      <c r="AB42" s="151"/>
      <c r="AC42" s="25"/>
      <c r="AD42" s="28"/>
      <c r="AE42" s="25"/>
      <c r="AF42" s="25"/>
      <c r="AG42" s="25"/>
      <c r="AH42" s="25"/>
      <c r="AI42" s="25"/>
      <c r="AJ42" s="25"/>
      <c r="AK42" s="186" t="s">
        <v>70</v>
      </c>
      <c r="AL42" s="25"/>
      <c r="AM42" s="25"/>
      <c r="AN42" s="25"/>
      <c r="AO42" s="25"/>
      <c r="AP42" s="25"/>
      <c r="AQ42" s="38"/>
      <c r="AR42" s="38"/>
      <c r="AS42" s="38"/>
      <c r="AT42" s="38"/>
      <c r="AU42" s="36">
        <v>14</v>
      </c>
      <c r="AV42" s="36">
        <v>1.33</v>
      </c>
      <c r="AW42" s="38"/>
      <c r="AX42" s="38"/>
      <c r="AY42" s="38"/>
      <c r="AZ42" s="38"/>
      <c r="BA42" s="38"/>
      <c r="BB42" s="38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</row>
    <row r="43" spans="1:101" s="27" customFormat="1" ht="18" hidden="1" customHeight="1" outlineLevel="1" x14ac:dyDescent="0.2">
      <c r="A43" s="9"/>
      <c r="C43" s="303"/>
      <c r="D43" s="304"/>
      <c r="E43" s="305"/>
      <c r="F43" s="304"/>
      <c r="G43" s="302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1"/>
      <c r="AB43" s="151"/>
      <c r="AC43" s="25"/>
      <c r="AD43" s="28"/>
      <c r="AE43" s="25"/>
      <c r="AF43" s="25"/>
      <c r="AG43" s="25"/>
      <c r="AH43" s="25"/>
      <c r="AI43" s="25"/>
      <c r="AJ43" s="25"/>
      <c r="AK43" s="186" t="s">
        <v>136</v>
      </c>
      <c r="AL43" s="25"/>
      <c r="AM43" s="25"/>
      <c r="AN43" s="25"/>
      <c r="AO43" s="25"/>
      <c r="AP43" s="25"/>
      <c r="AQ43" s="38"/>
      <c r="AR43" s="38"/>
      <c r="AS43" s="38"/>
      <c r="AT43" s="38"/>
      <c r="AU43" s="36"/>
      <c r="AV43" s="36"/>
      <c r="AW43" s="38"/>
      <c r="AX43" s="38"/>
      <c r="AY43" s="38"/>
      <c r="AZ43" s="38"/>
      <c r="BA43" s="38"/>
      <c r="BB43" s="38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</row>
    <row r="44" spans="1:101" s="27" customFormat="1" ht="18" hidden="1" customHeight="1" outlineLevel="1" x14ac:dyDescent="0.2">
      <c r="A44" s="9"/>
      <c r="C44" s="291">
        <v>2</v>
      </c>
      <c r="D44" s="292" t="str">
        <f>INDEX(BB2:BB32,BD1)&amp;"."&amp;INDEX(BA2:BA13,BE1)&amp;"."&amp;INDEX(AZ2:AZ8,BF1)</f>
        <v>21.12.2020</v>
      </c>
      <c r="E44" s="293" t="e">
        <f>INDEX(BB2:BB32,BB33)&amp;"."&amp;INDEX(BA2:BA13,BA14)&amp;"."&amp;INDEX(AZ2:AZ8,AZ9)</f>
        <v>#REF!</v>
      </c>
      <c r="F44" s="294">
        <f>IF(D44="","",DATE(INDEX(AZ2:AZ8,AZ9),BA14,BB33)-DATE(INDEX(AZ2:AZ8,BF1),BE1,BD1))</f>
        <v>438</v>
      </c>
      <c r="G44" s="211" t="s">
        <v>40</v>
      </c>
      <c r="H44" s="122">
        <f>K79</f>
        <v>21</v>
      </c>
      <c r="I44" s="122">
        <f>K80</f>
        <v>22</v>
      </c>
      <c r="J44" s="122">
        <f>K81</f>
        <v>23</v>
      </c>
      <c r="K44" s="122">
        <f>K82</f>
        <v>24</v>
      </c>
      <c r="L44" s="122">
        <f>K83</f>
        <v>25</v>
      </c>
      <c r="M44" s="122">
        <f>K84</f>
        <v>26</v>
      </c>
      <c r="N44" s="122">
        <f>K85</f>
        <v>27</v>
      </c>
      <c r="O44" s="122">
        <f>K86</f>
        <v>28</v>
      </c>
      <c r="P44" s="122">
        <f>K87</f>
        <v>29</v>
      </c>
      <c r="Q44" s="122">
        <f>K88</f>
        <v>30</v>
      </c>
      <c r="R44" s="122">
        <f>K89</f>
        <v>31</v>
      </c>
      <c r="S44" s="122">
        <f>K90</f>
        <v>32</v>
      </c>
      <c r="T44" s="122">
        <f>K91</f>
        <v>33</v>
      </c>
      <c r="U44" s="122">
        <f>K92</f>
        <v>34</v>
      </c>
      <c r="V44" s="122">
        <f>K93</f>
        <v>35</v>
      </c>
      <c r="W44" s="122">
        <f>K94</f>
        <v>36</v>
      </c>
      <c r="X44" s="122">
        <f>K95</f>
        <v>37</v>
      </c>
      <c r="Y44" s="122">
        <f>K96</f>
        <v>38</v>
      </c>
      <c r="Z44" s="122">
        <f>K97</f>
        <v>39</v>
      </c>
      <c r="AA44" s="208">
        <f>K98</f>
        <v>40</v>
      </c>
      <c r="AB44" s="151"/>
      <c r="AC44" s="25"/>
      <c r="AD44" s="28"/>
      <c r="AE44" s="25"/>
      <c r="AF44" s="25"/>
      <c r="AG44" s="25"/>
      <c r="AH44" s="29"/>
      <c r="AI44" s="25"/>
      <c r="AJ44" s="25"/>
      <c r="AK44" s="185"/>
      <c r="AL44" s="25"/>
      <c r="AM44" s="25"/>
      <c r="AN44" s="25"/>
      <c r="AO44" s="25"/>
      <c r="AP44" s="25"/>
      <c r="AQ44" s="38"/>
      <c r="AR44" s="38"/>
      <c r="AS44" s="38"/>
      <c r="AT44" s="38"/>
      <c r="AU44" s="36">
        <v>15</v>
      </c>
      <c r="AV44" s="36">
        <v>1.38</v>
      </c>
      <c r="AW44" s="38"/>
      <c r="AX44" s="38"/>
      <c r="AY44" s="38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</row>
    <row r="45" spans="1:101" s="27" customFormat="1" ht="18" hidden="1" customHeight="1" outlineLevel="1" x14ac:dyDescent="0.2">
      <c r="A45" s="9"/>
      <c r="C45" s="291"/>
      <c r="D45" s="292"/>
      <c r="E45" s="293"/>
      <c r="F45" s="294"/>
      <c r="G45" s="210" t="s">
        <v>41</v>
      </c>
      <c r="H45" s="154" t="str">
        <f>IF(L79="","-",L79)</f>
        <v>-</v>
      </c>
      <c r="I45" s="154" t="str">
        <f>IF(L80="","-",L80)</f>
        <v>-</v>
      </c>
      <c r="J45" s="154" t="str">
        <f>IF(L81="","-",L81)</f>
        <v>-</v>
      </c>
      <c r="K45" s="154" t="str">
        <f>IF(L82="","-",L82)</f>
        <v>-</v>
      </c>
      <c r="L45" s="154" t="str">
        <f>IF(L83="","-",L83)</f>
        <v>-</v>
      </c>
      <c r="M45" s="154" t="str">
        <f>IF(L84="","-",L84)</f>
        <v>-</v>
      </c>
      <c r="N45" s="154" t="str">
        <f>IF(L85="","-",L85)</f>
        <v>-</v>
      </c>
      <c r="O45" s="154" t="str">
        <f>IF(L86="","-",L86)</f>
        <v>-</v>
      </c>
      <c r="P45" s="154" t="str">
        <f>IF(L87="","-",L87)</f>
        <v>-</v>
      </c>
      <c r="Q45" s="154" t="str">
        <f>IF(L88="","-",L88)</f>
        <v>-</v>
      </c>
      <c r="R45" s="154" t="str">
        <f>IF(L89="","-",L89)</f>
        <v>-</v>
      </c>
      <c r="S45" s="154" t="str">
        <f>IF(L90="","-",L90)</f>
        <v>-</v>
      </c>
      <c r="T45" s="154" t="str">
        <f>IF(L91="","-",L91)</f>
        <v>-</v>
      </c>
      <c r="U45" s="154" t="str">
        <f>IF(L92="","-",L92)</f>
        <v>-</v>
      </c>
      <c r="V45" s="154" t="str">
        <f>IF(L93="","-",L93)</f>
        <v>-</v>
      </c>
      <c r="W45" s="154" t="str">
        <f>IF(L94="","-",L94)</f>
        <v>-</v>
      </c>
      <c r="X45" s="154" t="str">
        <f>IF(L95="","-",L95)</f>
        <v>-</v>
      </c>
      <c r="Y45" s="154" t="str">
        <f>IF(L96="","-",L96)</f>
        <v>-</v>
      </c>
      <c r="Z45" s="154" t="str">
        <f>IF(L97="","-",L97)</f>
        <v>-</v>
      </c>
      <c r="AA45" s="206" t="str">
        <f>IF(L98="","-",L98)</f>
        <v>-</v>
      </c>
      <c r="AB45" s="151"/>
      <c r="AC45" s="25"/>
      <c r="AD45" s="28"/>
      <c r="AE45" s="25"/>
      <c r="AF45" s="25"/>
      <c r="AG45" s="25"/>
      <c r="AH45" s="29"/>
      <c r="AI45" s="25"/>
      <c r="AJ45" s="25"/>
      <c r="AK45" s="25"/>
      <c r="AL45" s="25"/>
      <c r="AM45" s="25"/>
      <c r="AN45" s="25"/>
      <c r="AO45" s="25"/>
      <c r="AP45" s="25"/>
      <c r="AQ45" s="38"/>
      <c r="AR45" s="38"/>
      <c r="AS45" s="38"/>
      <c r="AT45" s="38"/>
      <c r="AU45" s="25"/>
      <c r="AV45" s="25"/>
      <c r="AW45" s="38"/>
      <c r="AX45" s="38"/>
      <c r="AY45" s="38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</row>
    <row r="46" spans="1:101" s="27" customFormat="1" ht="18" hidden="1" customHeight="1" outlineLevel="1" x14ac:dyDescent="0.2">
      <c r="A46" s="9"/>
      <c r="C46" s="291"/>
      <c r="D46" s="292"/>
      <c r="E46" s="293"/>
      <c r="F46" s="294"/>
      <c r="G46" s="211" t="s">
        <v>42</v>
      </c>
      <c r="H46" s="123" t="str">
        <f t="shared" ref="H46:AA46" si="1">IF(H45="-","-",$V$15+H45*$U$15)</f>
        <v>-</v>
      </c>
      <c r="I46" s="123" t="str">
        <f t="shared" si="1"/>
        <v>-</v>
      </c>
      <c r="J46" s="123" t="str">
        <f t="shared" si="1"/>
        <v>-</v>
      </c>
      <c r="K46" s="123" t="str">
        <f t="shared" si="1"/>
        <v>-</v>
      </c>
      <c r="L46" s="123" t="str">
        <f t="shared" si="1"/>
        <v>-</v>
      </c>
      <c r="M46" s="123" t="str">
        <f t="shared" si="1"/>
        <v>-</v>
      </c>
      <c r="N46" s="123" t="str">
        <f t="shared" si="1"/>
        <v>-</v>
      </c>
      <c r="O46" s="123" t="str">
        <f t="shared" si="1"/>
        <v>-</v>
      </c>
      <c r="P46" s="123" t="str">
        <f t="shared" si="1"/>
        <v>-</v>
      </c>
      <c r="Q46" s="123" t="str">
        <f t="shared" si="1"/>
        <v>-</v>
      </c>
      <c r="R46" s="123" t="str">
        <f t="shared" si="1"/>
        <v>-</v>
      </c>
      <c r="S46" s="123" t="str">
        <f t="shared" si="1"/>
        <v>-</v>
      </c>
      <c r="T46" s="123" t="str">
        <f t="shared" si="1"/>
        <v>-</v>
      </c>
      <c r="U46" s="123" t="str">
        <f t="shared" si="1"/>
        <v>-</v>
      </c>
      <c r="V46" s="123" t="str">
        <f t="shared" si="1"/>
        <v>-</v>
      </c>
      <c r="W46" s="123" t="str">
        <f t="shared" si="1"/>
        <v>-</v>
      </c>
      <c r="X46" s="123" t="str">
        <f t="shared" si="1"/>
        <v>-</v>
      </c>
      <c r="Y46" s="123" t="str">
        <f t="shared" si="1"/>
        <v>-</v>
      </c>
      <c r="Z46" s="123" t="str">
        <f t="shared" si="1"/>
        <v>-</v>
      </c>
      <c r="AA46" s="207" t="str">
        <f t="shared" si="1"/>
        <v>-</v>
      </c>
      <c r="AB46" s="151"/>
      <c r="AC46" s="25"/>
      <c r="AD46" s="28"/>
      <c r="AE46" s="25"/>
      <c r="AF46" s="25"/>
      <c r="AG46" s="25"/>
      <c r="AH46" s="29"/>
      <c r="AI46" s="25"/>
      <c r="AJ46" s="25"/>
      <c r="AK46" s="25"/>
      <c r="AL46" s="25"/>
      <c r="AM46" s="25"/>
      <c r="AN46" s="25"/>
      <c r="AO46" s="25"/>
      <c r="AP46" s="25"/>
      <c r="AQ46" s="38"/>
      <c r="AR46" s="38"/>
      <c r="AS46" s="38"/>
      <c r="AT46" s="38"/>
      <c r="AU46" s="25"/>
      <c r="AV46" s="25"/>
      <c r="AW46" s="38"/>
      <c r="AX46" s="38"/>
      <c r="AY46" s="38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</row>
    <row r="47" spans="1:101" s="27" customFormat="1" ht="30" hidden="1" customHeight="1" outlineLevel="2" x14ac:dyDescent="0.2">
      <c r="A47" s="9"/>
      <c r="B47" s="43"/>
      <c r="C47" s="234"/>
      <c r="D47" s="230"/>
      <c r="E47" s="225"/>
      <c r="F47" s="139"/>
      <c r="G47" s="223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21"/>
      <c r="AB47" s="113"/>
      <c r="AC47" s="25"/>
      <c r="AD47" s="28"/>
      <c r="AE47" s="28"/>
      <c r="AF47" s="25"/>
      <c r="AG47" s="25"/>
      <c r="AH47" s="29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</row>
    <row r="48" spans="1:101" s="27" customFormat="1" ht="54" hidden="1" customHeight="1" outlineLevel="2" x14ac:dyDescent="0.2">
      <c r="A48" s="9"/>
      <c r="B48" s="156"/>
      <c r="C48" s="234"/>
      <c r="D48" s="230"/>
      <c r="E48" s="226"/>
      <c r="F48" s="139"/>
      <c r="G48" s="224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21"/>
      <c r="AB48" s="113"/>
      <c r="AC48" s="25"/>
      <c r="AD48" s="28"/>
      <c r="AE48" s="28"/>
      <c r="AF48" s="25"/>
      <c r="AG48" s="25"/>
      <c r="AH48" s="29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</row>
    <row r="49" spans="1:101" s="27" customFormat="1" ht="30" hidden="1" customHeight="1" outlineLevel="2" x14ac:dyDescent="0.2">
      <c r="A49" s="9"/>
      <c r="B49" s="156"/>
      <c r="C49" s="234"/>
      <c r="D49" s="230"/>
      <c r="E49" s="226"/>
      <c r="F49" s="139"/>
      <c r="G49" s="224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8" t="str">
        <f>"продолжение  №39-777-32-2/ "&amp;B80</f>
        <v>продолжение  №39-777-32-2/ 580</v>
      </c>
      <c r="T49" s="217"/>
      <c r="U49" s="217"/>
      <c r="V49" s="219"/>
      <c r="W49" s="220"/>
      <c r="X49" s="217"/>
      <c r="Y49" s="217"/>
      <c r="Z49" s="217"/>
      <c r="AA49" s="221"/>
      <c r="AB49" s="113"/>
      <c r="AC49" s="25"/>
      <c r="AD49" s="28"/>
      <c r="AE49" s="28"/>
      <c r="AF49" s="25"/>
      <c r="AG49" s="25"/>
      <c r="AH49" s="29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</row>
    <row r="50" spans="1:101" s="27" customFormat="1" ht="30" hidden="1" customHeight="1" outlineLevel="2" x14ac:dyDescent="0.2">
      <c r="A50" s="9"/>
      <c r="B50" s="156"/>
      <c r="C50" s="234"/>
      <c r="D50" s="230"/>
      <c r="E50" s="226"/>
      <c r="F50" s="139"/>
      <c r="G50" s="224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21"/>
      <c r="AB50" s="113"/>
      <c r="AC50" s="25"/>
      <c r="AD50" s="28"/>
      <c r="AE50" s="28"/>
      <c r="AF50" s="25"/>
      <c r="AG50" s="204"/>
      <c r="AH50" s="29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</row>
    <row r="51" spans="1:101" s="27" customFormat="1" ht="90" hidden="1" customHeight="1" outlineLevel="2" x14ac:dyDescent="0.2">
      <c r="A51" s="9"/>
      <c r="B51" s="43"/>
      <c r="C51" s="235" t="s">
        <v>39</v>
      </c>
      <c r="D51" s="231" t="s">
        <v>120</v>
      </c>
      <c r="E51" s="227" t="s">
        <v>114</v>
      </c>
      <c r="F51" s="216" t="s">
        <v>151</v>
      </c>
      <c r="G51" s="296" t="s">
        <v>116</v>
      </c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297"/>
      <c r="AA51" s="298"/>
      <c r="AB51" s="113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</row>
    <row r="52" spans="1:101" s="27" customFormat="1" ht="30" hidden="1" customHeight="1" outlineLevel="2" x14ac:dyDescent="0.2">
      <c r="A52" s="134"/>
      <c r="C52" s="295">
        <v>3</v>
      </c>
      <c r="D52" s="292" t="str">
        <f>INDEX(BB2:BB32,BI1)&amp;"."&amp;INDEX(BA2:BA13,BH1)&amp;"."&amp;INDEX(AZ2:AZ8,BG1)</f>
        <v>25.11.2020</v>
      </c>
      <c r="E52" s="293" t="e">
        <f>INDEX(BB2:BB78,BB33)&amp;"."&amp;INDEX(BA2:BA13,BA14)&amp;"."&amp;INDEX(AZ2:AZ8,AZ9)</f>
        <v>#REF!</v>
      </c>
      <c r="F52" s="294">
        <f>IF(D52="","",DATE(INDEX(AZ2:AZ8,AZ9),BA14,BB33)-DATE(INDEX(AZ2:AZ8,BG1),BH1,BI1))</f>
        <v>464</v>
      </c>
      <c r="G52" s="211" t="s">
        <v>40</v>
      </c>
      <c r="H52" s="122">
        <f>N79</f>
        <v>41</v>
      </c>
      <c r="I52" s="122">
        <f>N80</f>
        <v>42</v>
      </c>
      <c r="J52" s="122">
        <f>N81</f>
        <v>43</v>
      </c>
      <c r="K52" s="122">
        <f>N82</f>
        <v>44</v>
      </c>
      <c r="L52" s="122">
        <f>N83</f>
        <v>45</v>
      </c>
      <c r="M52" s="122">
        <f>N84</f>
        <v>46</v>
      </c>
      <c r="N52" s="122">
        <f>N85</f>
        <v>47</v>
      </c>
      <c r="O52" s="122">
        <f>N86</f>
        <v>48</v>
      </c>
      <c r="P52" s="122">
        <f>N87</f>
        <v>49</v>
      </c>
      <c r="Q52" s="122">
        <f>N88</f>
        <v>50</v>
      </c>
      <c r="R52" s="122">
        <f>N89</f>
        <v>51</v>
      </c>
      <c r="S52" s="122">
        <f>N90</f>
        <v>52</v>
      </c>
      <c r="T52" s="122">
        <f>N91</f>
        <v>53</v>
      </c>
      <c r="U52" s="122">
        <f>N92</f>
        <v>54</v>
      </c>
      <c r="V52" s="122">
        <f>N93</f>
        <v>55</v>
      </c>
      <c r="W52" s="122">
        <f>N94</f>
        <v>56</v>
      </c>
      <c r="X52" s="122">
        <f>N95</f>
        <v>57</v>
      </c>
      <c r="Y52" s="122">
        <f>N96</f>
        <v>58</v>
      </c>
      <c r="Z52" s="122">
        <f>N97</f>
        <v>59</v>
      </c>
      <c r="AA52" s="208">
        <f>N98</f>
        <v>60</v>
      </c>
      <c r="AB52" s="113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</row>
    <row r="53" spans="1:101" s="27" customFormat="1" ht="30" hidden="1" customHeight="1" outlineLevel="2" x14ac:dyDescent="0.2">
      <c r="A53" s="134"/>
      <c r="C53" s="295"/>
      <c r="D53" s="292"/>
      <c r="E53" s="293"/>
      <c r="F53" s="294"/>
      <c r="G53" s="210" t="s">
        <v>41</v>
      </c>
      <c r="H53" s="154" t="str">
        <f>IF(O79="","-",O79)</f>
        <v>-</v>
      </c>
      <c r="I53" s="154" t="str">
        <f>IF(O80="","-",O80)</f>
        <v>-</v>
      </c>
      <c r="J53" s="154" t="str">
        <f>IF(O81="","-",O81)</f>
        <v>-</v>
      </c>
      <c r="K53" s="154" t="str">
        <f>IF(O82="","-",O82)</f>
        <v>-</v>
      </c>
      <c r="L53" s="154" t="str">
        <f>IF(O83="","-",O83)</f>
        <v>-</v>
      </c>
      <c r="M53" s="154" t="str">
        <f>IF(O84="","-",O84)</f>
        <v>-</v>
      </c>
      <c r="N53" s="154" t="str">
        <f>IF(O85="","-",O85)</f>
        <v>-</v>
      </c>
      <c r="O53" s="154" t="str">
        <f>IF(O86="","-",O86)</f>
        <v>-</v>
      </c>
      <c r="P53" s="154" t="str">
        <f>IF(O87="","-",O87)</f>
        <v>-</v>
      </c>
      <c r="Q53" s="154" t="str">
        <f>IF(O88="","-",O88)</f>
        <v>-</v>
      </c>
      <c r="R53" s="154" t="str">
        <f>IF(O89="","-",O89)</f>
        <v>-</v>
      </c>
      <c r="S53" s="154" t="str">
        <f>IF(O90="","-",O90)</f>
        <v>-</v>
      </c>
      <c r="T53" s="154" t="str">
        <f>IF(O91="","-",O91)</f>
        <v>-</v>
      </c>
      <c r="U53" s="154" t="str">
        <f>IF(O92="","-",O92)</f>
        <v>-</v>
      </c>
      <c r="V53" s="154" t="str">
        <f>IF(O93="","-",O93)</f>
        <v>-</v>
      </c>
      <c r="W53" s="154" t="str">
        <f>IF(O94="","-",O94)</f>
        <v>-</v>
      </c>
      <c r="X53" s="154" t="str">
        <f>IF(O95="","-",O95)</f>
        <v>-</v>
      </c>
      <c r="Y53" s="154" t="str">
        <f>IF(O96="","-",O96)</f>
        <v>-</v>
      </c>
      <c r="Z53" s="154" t="str">
        <f>IF(O97="","-",O97)</f>
        <v>-</v>
      </c>
      <c r="AA53" s="206" t="str">
        <f>IF(O98="","-",O98)</f>
        <v>-</v>
      </c>
      <c r="AB53" s="113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</row>
    <row r="54" spans="1:101" s="27" customFormat="1" ht="30" hidden="1" customHeight="1" outlineLevel="2" x14ac:dyDescent="0.2">
      <c r="A54" s="9"/>
      <c r="C54" s="295"/>
      <c r="D54" s="292"/>
      <c r="E54" s="293"/>
      <c r="F54" s="294"/>
      <c r="G54" s="211" t="s">
        <v>42</v>
      </c>
      <c r="H54" s="123" t="str">
        <f t="shared" ref="H54:AA54" si="2">IF(H53="-","-",$V$15+H53*$U$15)</f>
        <v>-</v>
      </c>
      <c r="I54" s="123" t="str">
        <f t="shared" si="2"/>
        <v>-</v>
      </c>
      <c r="J54" s="123" t="str">
        <f t="shared" si="2"/>
        <v>-</v>
      </c>
      <c r="K54" s="123" t="str">
        <f t="shared" si="2"/>
        <v>-</v>
      </c>
      <c r="L54" s="123" t="str">
        <f t="shared" si="2"/>
        <v>-</v>
      </c>
      <c r="M54" s="123" t="str">
        <f t="shared" si="2"/>
        <v>-</v>
      </c>
      <c r="N54" s="123" t="str">
        <f t="shared" si="2"/>
        <v>-</v>
      </c>
      <c r="O54" s="123" t="str">
        <f t="shared" si="2"/>
        <v>-</v>
      </c>
      <c r="P54" s="123" t="str">
        <f t="shared" si="2"/>
        <v>-</v>
      </c>
      <c r="Q54" s="123" t="str">
        <f t="shared" si="2"/>
        <v>-</v>
      </c>
      <c r="R54" s="123" t="str">
        <f t="shared" si="2"/>
        <v>-</v>
      </c>
      <c r="S54" s="123" t="str">
        <f t="shared" si="2"/>
        <v>-</v>
      </c>
      <c r="T54" s="123" t="str">
        <f t="shared" si="2"/>
        <v>-</v>
      </c>
      <c r="U54" s="123" t="str">
        <f t="shared" si="2"/>
        <v>-</v>
      </c>
      <c r="V54" s="123" t="str">
        <f t="shared" si="2"/>
        <v>-</v>
      </c>
      <c r="W54" s="123" t="str">
        <f t="shared" si="2"/>
        <v>-</v>
      </c>
      <c r="X54" s="123" t="str">
        <f t="shared" si="2"/>
        <v>-</v>
      </c>
      <c r="Y54" s="123" t="str">
        <f t="shared" si="2"/>
        <v>-</v>
      </c>
      <c r="Z54" s="123" t="str">
        <f t="shared" si="2"/>
        <v>-</v>
      </c>
      <c r="AA54" s="207" t="str">
        <f t="shared" si="2"/>
        <v>-</v>
      </c>
      <c r="AB54" s="113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</row>
    <row r="55" spans="1:101" s="27" customFormat="1" ht="30" hidden="1" customHeight="1" outlineLevel="3" x14ac:dyDescent="0.2">
      <c r="A55" s="9"/>
      <c r="C55" s="235" t="s">
        <v>39</v>
      </c>
      <c r="D55" s="231" t="s">
        <v>120</v>
      </c>
      <c r="E55" s="227" t="s">
        <v>114</v>
      </c>
      <c r="F55" s="212" t="s">
        <v>115</v>
      </c>
      <c r="G55" s="296" t="s">
        <v>116</v>
      </c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297"/>
      <c r="AA55" s="298"/>
      <c r="AB55" s="113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</row>
    <row r="56" spans="1:101" s="27" customFormat="1" ht="30" hidden="1" customHeight="1" outlineLevel="3" x14ac:dyDescent="0.2">
      <c r="A56" s="135"/>
      <c r="C56" s="295">
        <v>4</v>
      </c>
      <c r="D56" s="292" t="str">
        <f>INDEX(BB2:BB32,BL1)&amp;"."&amp;INDEX(BA2:BA13,BK1)&amp;"."&amp;INDEX(AZ2:AZ8,BJ1)</f>
        <v>02.10.2020</v>
      </c>
      <c r="E56" s="293" t="e">
        <f>INDEX(BB2:BB78,BB33)&amp;"."&amp;INDEX(BA2:BA13,BA14)&amp;"."&amp;INDEX(AZ2:AZ8,AZ9)</f>
        <v>#REF!</v>
      </c>
      <c r="F56" s="294">
        <f>IF(D56="","",DATE(INDEX(AZ2:AZ8,AZ9),BA14,BB33)-DATE(INDEX(AZ2:AZ8,BJ1),BK1,BL1))</f>
        <v>518</v>
      </c>
      <c r="G56" s="211" t="s">
        <v>40</v>
      </c>
      <c r="H56" s="122">
        <f>Q79</f>
        <v>61</v>
      </c>
      <c r="I56" s="122">
        <f>Q80</f>
        <v>62</v>
      </c>
      <c r="J56" s="122">
        <f>Q81</f>
        <v>63</v>
      </c>
      <c r="K56" s="122">
        <f>Q82</f>
        <v>64</v>
      </c>
      <c r="L56" s="122">
        <f>Q83</f>
        <v>65</v>
      </c>
      <c r="M56" s="122">
        <f>Q84</f>
        <v>66</v>
      </c>
      <c r="N56" s="122">
        <f>Q85</f>
        <v>67</v>
      </c>
      <c r="O56" s="122">
        <f>Q86</f>
        <v>68</v>
      </c>
      <c r="P56" s="122">
        <f>Q87</f>
        <v>69</v>
      </c>
      <c r="Q56" s="122">
        <f>Q88</f>
        <v>70</v>
      </c>
      <c r="R56" s="122">
        <f>Q89</f>
        <v>71</v>
      </c>
      <c r="S56" s="122">
        <f>Q90</f>
        <v>72</v>
      </c>
      <c r="T56" s="122">
        <f>Q91</f>
        <v>73</v>
      </c>
      <c r="U56" s="122">
        <f>Q92</f>
        <v>74</v>
      </c>
      <c r="V56" s="122">
        <f>Q93</f>
        <v>75</v>
      </c>
      <c r="W56" s="122">
        <f>Q94</f>
        <v>76</v>
      </c>
      <c r="X56" s="122">
        <f>Q95</f>
        <v>77</v>
      </c>
      <c r="Y56" s="122">
        <f>Q96</f>
        <v>78</v>
      </c>
      <c r="Z56" s="122">
        <f>Q97</f>
        <v>79</v>
      </c>
      <c r="AA56" s="208">
        <f>Q98</f>
        <v>80</v>
      </c>
      <c r="AB56" s="113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</row>
    <row r="57" spans="1:101" s="27" customFormat="1" ht="30" hidden="1" customHeight="1" outlineLevel="3" x14ac:dyDescent="0.2">
      <c r="A57" s="135"/>
      <c r="C57" s="295"/>
      <c r="D57" s="292"/>
      <c r="E57" s="293"/>
      <c r="F57" s="294"/>
      <c r="G57" s="210" t="s">
        <v>41</v>
      </c>
      <c r="H57" s="154" t="str">
        <f>IF(R79="","-",R79)</f>
        <v>-</v>
      </c>
      <c r="I57" s="154" t="str">
        <f>IF(R80="","-",R80)</f>
        <v>-</v>
      </c>
      <c r="J57" s="154" t="str">
        <f>IF(R81="","-",R81)</f>
        <v>-</v>
      </c>
      <c r="K57" s="154" t="str">
        <f>IF(R82="","-",R82)</f>
        <v>-</v>
      </c>
      <c r="L57" s="154" t="str">
        <f>IF(R83="","-",R83)</f>
        <v>-</v>
      </c>
      <c r="M57" s="154" t="str">
        <f>IF(R84="","-",R84)</f>
        <v>-</v>
      </c>
      <c r="N57" s="154" t="str">
        <f>IF(R85="","-",R85)</f>
        <v>-</v>
      </c>
      <c r="O57" s="154" t="str">
        <f>IF(R86="","-",R86)</f>
        <v>-</v>
      </c>
      <c r="P57" s="154" t="str">
        <f>IF(R87="","-",R87)</f>
        <v>-</v>
      </c>
      <c r="Q57" s="154" t="str">
        <f>IF(R88="","-",R88)</f>
        <v>-</v>
      </c>
      <c r="R57" s="154" t="str">
        <f>IF(R89="","-",R89)</f>
        <v>-</v>
      </c>
      <c r="S57" s="154" t="str">
        <f>IF(R90="","-",R90)</f>
        <v>-</v>
      </c>
      <c r="T57" s="154" t="str">
        <f>IF(R91="","-",R91)</f>
        <v>-</v>
      </c>
      <c r="U57" s="154" t="str">
        <f>IF(R92="","-",R92)</f>
        <v>-</v>
      </c>
      <c r="V57" s="154" t="str">
        <f>IF(R93="","-",R93)</f>
        <v>-</v>
      </c>
      <c r="W57" s="154" t="str">
        <f>IF(R94="","-",R94)</f>
        <v>-</v>
      </c>
      <c r="X57" s="154" t="str">
        <f>IF(R95="","-",R95)</f>
        <v>-</v>
      </c>
      <c r="Y57" s="154" t="str">
        <f>IF(R96="","-",R96)</f>
        <v>-</v>
      </c>
      <c r="Z57" s="154" t="str">
        <f>IF(R97="","-",R97)</f>
        <v>-</v>
      </c>
      <c r="AA57" s="206" t="str">
        <f>IF(R98="","-",R98)</f>
        <v>-</v>
      </c>
      <c r="AB57" s="113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</row>
    <row r="58" spans="1:101" s="27" customFormat="1" ht="30" hidden="1" customHeight="1" outlineLevel="3" x14ac:dyDescent="0.2">
      <c r="A58" s="9"/>
      <c r="C58" s="295"/>
      <c r="D58" s="292"/>
      <c r="E58" s="293"/>
      <c r="F58" s="294"/>
      <c r="G58" s="211" t="s">
        <v>42</v>
      </c>
      <c r="H58" s="123" t="str">
        <f t="shared" ref="H58:AA58" si="3">IF(H57="-","-",$V$15+H57*$U$15)</f>
        <v>-</v>
      </c>
      <c r="I58" s="123" t="str">
        <f t="shared" si="3"/>
        <v>-</v>
      </c>
      <c r="J58" s="123" t="str">
        <f t="shared" si="3"/>
        <v>-</v>
      </c>
      <c r="K58" s="123" t="str">
        <f t="shared" si="3"/>
        <v>-</v>
      </c>
      <c r="L58" s="123" t="str">
        <f t="shared" si="3"/>
        <v>-</v>
      </c>
      <c r="M58" s="123" t="str">
        <f t="shared" si="3"/>
        <v>-</v>
      </c>
      <c r="N58" s="123" t="str">
        <f t="shared" si="3"/>
        <v>-</v>
      </c>
      <c r="O58" s="123" t="str">
        <f t="shared" si="3"/>
        <v>-</v>
      </c>
      <c r="P58" s="123" t="str">
        <f t="shared" si="3"/>
        <v>-</v>
      </c>
      <c r="Q58" s="123" t="str">
        <f t="shared" si="3"/>
        <v>-</v>
      </c>
      <c r="R58" s="123" t="str">
        <f t="shared" si="3"/>
        <v>-</v>
      </c>
      <c r="S58" s="123" t="str">
        <f t="shared" si="3"/>
        <v>-</v>
      </c>
      <c r="T58" s="123" t="str">
        <f t="shared" si="3"/>
        <v>-</v>
      </c>
      <c r="U58" s="123" t="str">
        <f t="shared" si="3"/>
        <v>-</v>
      </c>
      <c r="V58" s="123" t="str">
        <f t="shared" si="3"/>
        <v>-</v>
      </c>
      <c r="W58" s="123" t="str">
        <f t="shared" si="3"/>
        <v>-</v>
      </c>
      <c r="X58" s="123" t="str">
        <f t="shared" si="3"/>
        <v>-</v>
      </c>
      <c r="Y58" s="123" t="str">
        <f t="shared" si="3"/>
        <v>-</v>
      </c>
      <c r="Z58" s="123" t="str">
        <f t="shared" si="3"/>
        <v>-</v>
      </c>
      <c r="AA58" s="207" t="str">
        <f t="shared" si="3"/>
        <v>-</v>
      </c>
      <c r="AB58" s="113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</row>
    <row r="59" spans="1:101" s="27" customFormat="1" ht="30" hidden="1" customHeight="1" outlineLevel="4" x14ac:dyDescent="0.2">
      <c r="A59" s="9"/>
      <c r="C59" s="284" t="s">
        <v>39</v>
      </c>
      <c r="D59" s="285" t="s">
        <v>120</v>
      </c>
      <c r="E59" s="286" t="s">
        <v>114</v>
      </c>
      <c r="F59" s="287" t="s">
        <v>115</v>
      </c>
      <c r="G59" s="288" t="s">
        <v>116</v>
      </c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289"/>
      <c r="AA59" s="290"/>
      <c r="AB59" s="142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</row>
    <row r="60" spans="1:101" s="27" customFormat="1" ht="30" hidden="1" customHeight="1" outlineLevel="4" x14ac:dyDescent="0.2">
      <c r="A60" s="9"/>
      <c r="C60" s="284"/>
      <c r="D60" s="285"/>
      <c r="E60" s="286"/>
      <c r="F60" s="287"/>
      <c r="G60" s="288"/>
      <c r="H60" s="289"/>
      <c r="I60" s="289"/>
      <c r="J60" s="289"/>
      <c r="K60" s="289"/>
      <c r="L60" s="289"/>
      <c r="M60" s="289"/>
      <c r="N60" s="289"/>
      <c r="O60" s="289"/>
      <c r="P60" s="289"/>
      <c r="Q60" s="289"/>
      <c r="R60" s="289"/>
      <c r="S60" s="289"/>
      <c r="T60" s="289"/>
      <c r="U60" s="289"/>
      <c r="V60" s="289"/>
      <c r="W60" s="289"/>
      <c r="X60" s="289"/>
      <c r="Y60" s="289"/>
      <c r="Z60" s="289"/>
      <c r="AA60" s="290"/>
      <c r="AB60" s="142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</row>
    <row r="61" spans="1:101" s="27" customFormat="1" ht="30" hidden="1" customHeight="1" outlineLevel="4" x14ac:dyDescent="0.2">
      <c r="A61" s="9"/>
      <c r="C61" s="284"/>
      <c r="D61" s="285"/>
      <c r="E61" s="286"/>
      <c r="F61" s="287"/>
      <c r="G61" s="288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289"/>
      <c r="AA61" s="290"/>
      <c r="AB61" s="142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</row>
    <row r="62" spans="1:101" s="27" customFormat="1" ht="30" hidden="1" customHeight="1" outlineLevel="4" x14ac:dyDescent="0.2">
      <c r="A62" s="9"/>
      <c r="C62" s="291">
        <v>5</v>
      </c>
      <c r="D62" s="292" t="str">
        <f>INDEX(BB2:BB32,AT1)&amp;"."&amp;INDEX(BA2:BA13,AS1)&amp;"."&amp;INDEX(AZ2:AZ8,AR1)</f>
        <v>30.06.2020</v>
      </c>
      <c r="E62" s="293" t="e">
        <f>INDEX(BB2:BB78,BB33)&amp;"."&amp;INDEX(BA2:BA13,BA14)&amp;"."&amp;INDEX(AZ2:AZ8,AZ9)</f>
        <v>#REF!</v>
      </c>
      <c r="F62" s="294">
        <f>IF(D62="","",DATE(INDEX(AZ2:AZ8,AZ9),BA14,BB33)-D62)</f>
        <v>612</v>
      </c>
      <c r="G62" s="211" t="s">
        <v>40</v>
      </c>
      <c r="H62" s="122">
        <f>T79</f>
        <v>81</v>
      </c>
      <c r="I62" s="122">
        <f>T80</f>
        <v>82</v>
      </c>
      <c r="J62" s="122">
        <f>T81</f>
        <v>83</v>
      </c>
      <c r="K62" s="122">
        <f>T82</f>
        <v>84</v>
      </c>
      <c r="L62" s="122">
        <f>T83</f>
        <v>85</v>
      </c>
      <c r="M62" s="122">
        <f>T84</f>
        <v>86</v>
      </c>
      <c r="N62" s="122">
        <f>T85</f>
        <v>87</v>
      </c>
      <c r="O62" s="122">
        <f>T86</f>
        <v>88</v>
      </c>
      <c r="P62" s="122">
        <f>T87</f>
        <v>89</v>
      </c>
      <c r="Q62" s="122">
        <f>T88</f>
        <v>90</v>
      </c>
      <c r="R62" s="122">
        <f>T89</f>
        <v>91</v>
      </c>
      <c r="S62" s="122">
        <f>T90</f>
        <v>92</v>
      </c>
      <c r="T62" s="122">
        <f>T91</f>
        <v>93</v>
      </c>
      <c r="U62" s="122">
        <f>T92</f>
        <v>94</v>
      </c>
      <c r="V62" s="122">
        <f>T93</f>
        <v>95</v>
      </c>
      <c r="W62" s="122">
        <f>T94</f>
        <v>96</v>
      </c>
      <c r="X62" s="122">
        <f>T95</f>
        <v>97</v>
      </c>
      <c r="Y62" s="122">
        <f>T96</f>
        <v>98</v>
      </c>
      <c r="Z62" s="122">
        <f>T97</f>
        <v>99</v>
      </c>
      <c r="AA62" s="208">
        <f>T98</f>
        <v>100</v>
      </c>
      <c r="AB62" s="43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</row>
    <row r="63" spans="1:101" s="27" customFormat="1" ht="30" hidden="1" customHeight="1" outlineLevel="4" x14ac:dyDescent="0.2">
      <c r="A63" s="9"/>
      <c r="C63" s="291"/>
      <c r="D63" s="292"/>
      <c r="E63" s="293"/>
      <c r="F63" s="294"/>
      <c r="G63" s="210" t="s">
        <v>41</v>
      </c>
      <c r="H63" s="154" t="str">
        <f>IF(U79="","-",U79)</f>
        <v>-</v>
      </c>
      <c r="I63" s="154" t="str">
        <f>IF(U80="","-",U80)</f>
        <v>-</v>
      </c>
      <c r="J63" s="154" t="str">
        <f>IF(U81="","-",U81)</f>
        <v>-</v>
      </c>
      <c r="K63" s="154" t="str">
        <f>IF(U82="","-",U82)</f>
        <v>-</v>
      </c>
      <c r="L63" s="154" t="str">
        <f>IF(U83="","-",U83)</f>
        <v>-</v>
      </c>
      <c r="M63" s="154" t="str">
        <f>IF(U84="","-",U84)</f>
        <v>-</v>
      </c>
      <c r="N63" s="154" t="str">
        <f>IF(U85="","-",U85)</f>
        <v>-</v>
      </c>
      <c r="O63" s="154" t="str">
        <f>IF(U86="","-",U86)</f>
        <v>-</v>
      </c>
      <c r="P63" s="154" t="str">
        <f>IF(U87="","-",U87)</f>
        <v>-</v>
      </c>
      <c r="Q63" s="154" t="str">
        <f>IF(U88="","-",U88)</f>
        <v>-</v>
      </c>
      <c r="R63" s="154" t="str">
        <f>IF(U89="","-",U89)</f>
        <v>-</v>
      </c>
      <c r="S63" s="154" t="str">
        <f>IF(U90="","-",U90)</f>
        <v>-</v>
      </c>
      <c r="T63" s="154" t="str">
        <f>IF(U91="","-",U91)</f>
        <v>-</v>
      </c>
      <c r="U63" s="154" t="str">
        <f>IF(U92="","-",U92)</f>
        <v>-</v>
      </c>
      <c r="V63" s="154" t="str">
        <f>IF(U93="","-",U93)</f>
        <v>-</v>
      </c>
      <c r="W63" s="154" t="str">
        <f>IF(U94="","-",U94)</f>
        <v>-</v>
      </c>
      <c r="X63" s="154" t="str">
        <f>IF(U95="","-",U95)</f>
        <v>-</v>
      </c>
      <c r="Y63" s="154" t="str">
        <f>IF(U96="","-",U96)</f>
        <v>-</v>
      </c>
      <c r="Z63" s="154" t="str">
        <f>IF(U97="","-",U97)</f>
        <v>-</v>
      </c>
      <c r="AA63" s="206" t="str">
        <f>IF(U98="","-",U98)</f>
        <v>-</v>
      </c>
      <c r="AB63" s="43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</row>
    <row r="64" spans="1:101" s="27" customFormat="1" ht="30" hidden="1" customHeight="1" outlineLevel="4" x14ac:dyDescent="0.2">
      <c r="A64" s="9"/>
      <c r="C64" s="291"/>
      <c r="D64" s="292"/>
      <c r="E64" s="293"/>
      <c r="F64" s="294"/>
      <c r="G64" s="211" t="s">
        <v>42</v>
      </c>
      <c r="H64" s="123" t="str">
        <f t="shared" ref="H64:AA64" si="4">IF(H63="-","-",$V$15+H63*$U$15)</f>
        <v>-</v>
      </c>
      <c r="I64" s="123" t="str">
        <f t="shared" si="4"/>
        <v>-</v>
      </c>
      <c r="J64" s="123" t="str">
        <f t="shared" si="4"/>
        <v>-</v>
      </c>
      <c r="K64" s="123" t="str">
        <f t="shared" si="4"/>
        <v>-</v>
      </c>
      <c r="L64" s="123" t="str">
        <f t="shared" si="4"/>
        <v>-</v>
      </c>
      <c r="M64" s="123" t="str">
        <f t="shared" si="4"/>
        <v>-</v>
      </c>
      <c r="N64" s="123" t="str">
        <f t="shared" si="4"/>
        <v>-</v>
      </c>
      <c r="O64" s="123" t="str">
        <f t="shared" si="4"/>
        <v>-</v>
      </c>
      <c r="P64" s="123" t="str">
        <f t="shared" si="4"/>
        <v>-</v>
      </c>
      <c r="Q64" s="123" t="str">
        <f t="shared" si="4"/>
        <v>-</v>
      </c>
      <c r="R64" s="123" t="str">
        <f t="shared" si="4"/>
        <v>-</v>
      </c>
      <c r="S64" s="123" t="str">
        <f t="shared" si="4"/>
        <v>-</v>
      </c>
      <c r="T64" s="123" t="str">
        <f t="shared" si="4"/>
        <v>-</v>
      </c>
      <c r="U64" s="123" t="str">
        <f t="shared" si="4"/>
        <v>-</v>
      </c>
      <c r="V64" s="123" t="str">
        <f t="shared" si="4"/>
        <v>-</v>
      </c>
      <c r="W64" s="123" t="str">
        <f t="shared" si="4"/>
        <v>-</v>
      </c>
      <c r="X64" s="123" t="str">
        <f t="shared" si="4"/>
        <v>-</v>
      </c>
      <c r="Y64" s="123" t="str">
        <f t="shared" si="4"/>
        <v>-</v>
      </c>
      <c r="Z64" s="123" t="str">
        <f t="shared" si="4"/>
        <v>-</v>
      </c>
      <c r="AA64" s="207" t="str">
        <f t="shared" si="4"/>
        <v>-</v>
      </c>
      <c r="AB64" s="43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</row>
    <row r="65" spans="1:101" s="27" customFormat="1" ht="21" customHeight="1" collapsed="1" x14ac:dyDescent="0.25">
      <c r="A65" s="144"/>
      <c r="C65" s="234"/>
      <c r="D65" s="232"/>
      <c r="E65" s="228"/>
      <c r="F65" s="139"/>
      <c r="G65" s="278" t="str">
        <f>IF(COUNT(H40:AA40,H46:AA46,H54:AA54,H58:AK51ёAA58,H64:AA64)&lt;4,"-",("Rm="&amp;ROUND(SUM(H40:AA40,H46:AA46,H54:AA54,H58:AA58,H64:AA64)/COUNT(H40:AA40,H46:AA46,H54:AA54,H58:AA58,H64:AA64),1)&amp;" МПа (п. 5.1 ГОСТ 18105-2018)"))</f>
        <v>Rm=41,2 МПа (п. 5.1 ГОСТ 18105-2018)</v>
      </c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80"/>
      <c r="AB65" s="43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</row>
    <row r="66" spans="1:101" s="27" customFormat="1" ht="19.5" customHeight="1" thickBot="1" x14ac:dyDescent="0.25">
      <c r="A66" s="144"/>
      <c r="C66" s="229"/>
      <c r="D66" s="236"/>
      <c r="E66" s="233"/>
      <c r="F66" s="140"/>
      <c r="G66" s="281" t="str">
        <f>IF(COUNT(H40:AA40,H46:AA46,H54:AA54,H58:AA58,H64:AA64)&lt;18,"-","Фактический  класс бетона Вф/Actual class of concrete Bf"&amp; IF(((SUM(H40:AA40,H46:AA46,H54:AA54,H58:AA58,H64:AA64)/COUNT(H40:AA40,H46:AA46,H54:AA54,H58:AA58,H64:AA64))/$AV$24)&lt;AU24,"&lt;","&gt;")&amp;"Вн и равен "&amp;ROUND((SUM(H40:AA40,H46:AA46,H54:AA54,H58:AA58,H64:AA64)/COUNT(H40:AA40,H46:AA46,H54:AA54,H58:AA58,H64:AA64))/$AV$24,1)&amp;" (п. 8.4.1 ГОСТ 18105-2018)")</f>
        <v>Фактический  класс бетона Вф/Actual class of concrete Bf&gt;Вн и равен 38,6 (п. 8.4.1 ГОСТ 18105-2018)</v>
      </c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2"/>
      <c r="AB66" s="43"/>
      <c r="AC66" s="25"/>
      <c r="AD66" s="264" t="s">
        <v>5</v>
      </c>
      <c r="AE66" s="25"/>
      <c r="AF66" s="264" t="s">
        <v>3</v>
      </c>
      <c r="AG66" s="25"/>
      <c r="AH66" s="264">
        <v>2021</v>
      </c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</row>
    <row r="67" spans="1:101" s="27" customFormat="1" ht="4.5" hidden="1" customHeight="1" x14ac:dyDescent="0.2">
      <c r="A67" s="9"/>
      <c r="C67" s="41"/>
      <c r="D67" s="112"/>
      <c r="E67" s="112"/>
      <c r="F67" s="115"/>
      <c r="G67" s="115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3"/>
      <c r="AC67" s="25"/>
      <c r="AD67" s="264"/>
      <c r="AE67" s="25"/>
      <c r="AF67" s="264"/>
      <c r="AG67" s="25"/>
      <c r="AH67" s="264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</row>
    <row r="68" spans="1:101" s="27" customFormat="1" ht="20.25" customHeight="1" x14ac:dyDescent="0.2">
      <c r="A68" s="9"/>
      <c r="C68" s="41"/>
      <c r="D68" s="283" t="s">
        <v>134</v>
      </c>
      <c r="E68" s="283"/>
      <c r="F68" s="283"/>
      <c r="G68" s="283"/>
      <c r="H68" s="283"/>
      <c r="I68" s="283"/>
      <c r="J68" s="283"/>
      <c r="K68" s="283"/>
      <c r="L68" s="283"/>
      <c r="M68" s="283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3"/>
      <c r="AC68" s="25"/>
      <c r="AD68" s="264"/>
      <c r="AE68" s="25"/>
      <c r="AF68" s="264"/>
      <c r="AG68" s="25"/>
      <c r="AH68" s="264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177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</row>
    <row r="69" spans="1:101" s="27" customFormat="1" ht="19.5" customHeight="1" x14ac:dyDescent="0.2">
      <c r="A69" s="9"/>
      <c r="C69" s="41"/>
      <c r="D69" s="112"/>
      <c r="E69" s="112"/>
      <c r="F69" s="272" t="s">
        <v>66</v>
      </c>
      <c r="G69" s="273"/>
      <c r="H69" s="273"/>
      <c r="I69" s="273"/>
      <c r="J69" s="273"/>
      <c r="K69" s="273"/>
      <c r="L69" s="273"/>
      <c r="M69" s="274"/>
      <c r="N69" s="272" t="s">
        <v>67</v>
      </c>
      <c r="O69" s="273"/>
      <c r="P69" s="273"/>
      <c r="Q69" s="273"/>
      <c r="R69" s="273"/>
      <c r="S69" s="274"/>
      <c r="T69" s="272" t="s">
        <v>68</v>
      </c>
      <c r="U69" s="273"/>
      <c r="V69" s="273"/>
      <c r="W69" s="273"/>
      <c r="X69" s="275" t="s">
        <v>69</v>
      </c>
      <c r="Y69" s="276"/>
      <c r="Z69" s="277"/>
      <c r="AA69" s="114"/>
      <c r="AB69" s="113"/>
      <c r="AC69" s="25"/>
      <c r="AD69" s="260" t="str">
        <f>AD66&amp;"."&amp;AF66&amp;"."&amp;AH66</f>
        <v>04.02.2021</v>
      </c>
      <c r="AE69" s="261"/>
      <c r="AF69" s="261"/>
      <c r="AG69" s="261"/>
      <c r="AH69" s="261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177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</row>
    <row r="70" spans="1:101" s="27" customFormat="1" ht="39.950000000000003" customHeight="1" x14ac:dyDescent="0.2">
      <c r="A70" s="9"/>
      <c r="C70" s="41"/>
      <c r="D70" s="112"/>
      <c r="E70" s="112"/>
      <c r="F70" s="272" t="s">
        <v>70</v>
      </c>
      <c r="G70" s="273"/>
      <c r="H70" s="273"/>
      <c r="I70" s="273"/>
      <c r="J70" s="273"/>
      <c r="K70" s="273"/>
      <c r="L70" s="273"/>
      <c r="M70" s="274"/>
      <c r="N70" s="272" t="s">
        <v>138</v>
      </c>
      <c r="O70" s="273"/>
      <c r="P70" s="273"/>
      <c r="Q70" s="273"/>
      <c r="R70" s="273"/>
      <c r="S70" s="274"/>
      <c r="T70" s="272"/>
      <c r="U70" s="273"/>
      <c r="V70" s="273"/>
      <c r="W70" s="273"/>
      <c r="X70" s="275" t="str">
        <f>E38</f>
        <v>04.02.2021</v>
      </c>
      <c r="Y70" s="276"/>
      <c r="Z70" s="277"/>
      <c r="AA70" s="114"/>
      <c r="AB70" s="113"/>
      <c r="AC70" s="25"/>
      <c r="AD70" s="261"/>
      <c r="AE70" s="261"/>
      <c r="AF70" s="261"/>
      <c r="AG70" s="261"/>
      <c r="AH70" s="261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177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</row>
    <row r="71" spans="1:101" s="27" customFormat="1" ht="39.950000000000003" customHeight="1" x14ac:dyDescent="0.2">
      <c r="A71" s="9"/>
      <c r="C71" s="41"/>
      <c r="D71" s="112"/>
      <c r="E71" s="112"/>
      <c r="F71" s="272" t="s">
        <v>150</v>
      </c>
      <c r="G71" s="273"/>
      <c r="H71" s="273"/>
      <c r="I71" s="273"/>
      <c r="J71" s="273"/>
      <c r="K71" s="273"/>
      <c r="L71" s="273"/>
      <c r="M71" s="274"/>
      <c r="N71" s="272" t="s">
        <v>156</v>
      </c>
      <c r="O71" s="273"/>
      <c r="P71" s="273"/>
      <c r="Q71" s="273"/>
      <c r="R71" s="273"/>
      <c r="S71" s="274"/>
      <c r="T71" s="272"/>
      <c r="U71" s="273"/>
      <c r="V71" s="273"/>
      <c r="W71" s="273"/>
      <c r="X71" s="275" t="str">
        <f>E38</f>
        <v>04.02.2021</v>
      </c>
      <c r="Y71" s="276"/>
      <c r="Z71" s="277"/>
      <c r="AA71" s="114"/>
      <c r="AB71" s="113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60" t="s">
        <v>63</v>
      </c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177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</row>
    <row r="72" spans="1:101" s="27" customFormat="1" ht="39.950000000000003" customHeight="1" x14ac:dyDescent="0.25">
      <c r="A72" s="9"/>
      <c r="F72" s="272" t="s">
        <v>71</v>
      </c>
      <c r="G72" s="273"/>
      <c r="H72" s="273"/>
      <c r="I72" s="273"/>
      <c r="J72" s="273"/>
      <c r="K72" s="273"/>
      <c r="L72" s="273"/>
      <c r="M72" s="274"/>
      <c r="N72" s="272" t="s">
        <v>158</v>
      </c>
      <c r="O72" s="273"/>
      <c r="P72" s="273"/>
      <c r="Q72" s="273"/>
      <c r="R72" s="273"/>
      <c r="S72" s="274"/>
      <c r="T72" s="272"/>
      <c r="U72" s="273"/>
      <c r="V72" s="273"/>
      <c r="W72" s="273"/>
      <c r="X72" s="275" t="str">
        <f>E38</f>
        <v>04.02.2021</v>
      </c>
      <c r="Y72" s="276"/>
      <c r="Z72" s="277"/>
      <c r="AA72" s="19"/>
      <c r="AB72" s="19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61" t="s">
        <v>64</v>
      </c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177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</row>
    <row r="73" spans="1:101" ht="39.950000000000003" customHeight="1" x14ac:dyDescent="0.25">
      <c r="A73" s="9"/>
      <c r="F73" s="272" t="s">
        <v>72</v>
      </c>
      <c r="G73" s="273"/>
      <c r="H73" s="273"/>
      <c r="I73" s="273"/>
      <c r="J73" s="273"/>
      <c r="K73" s="273"/>
      <c r="L73" s="273"/>
      <c r="M73" s="274"/>
      <c r="N73" s="272" t="s">
        <v>152</v>
      </c>
      <c r="O73" s="273"/>
      <c r="P73" s="273"/>
      <c r="Q73" s="273"/>
      <c r="R73" s="273"/>
      <c r="S73" s="274"/>
      <c r="T73" s="272"/>
      <c r="U73" s="273"/>
      <c r="V73" s="273"/>
      <c r="W73" s="273"/>
      <c r="X73" s="275" t="str">
        <f>E38</f>
        <v>04.02.2021</v>
      </c>
      <c r="Y73" s="276"/>
      <c r="Z73" s="277"/>
      <c r="AA73" s="21"/>
      <c r="AB73" s="21"/>
      <c r="AQ73" s="61" t="s">
        <v>65</v>
      </c>
      <c r="BB73" s="177"/>
    </row>
    <row r="74" spans="1:101" ht="26.25" customHeight="1" x14ac:dyDescent="0.25">
      <c r="A74" s="9"/>
      <c r="C74" s="2"/>
      <c r="F74" s="56"/>
      <c r="G74" s="56"/>
      <c r="H74" s="5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63"/>
      <c r="U74" s="63"/>
      <c r="V74" s="63"/>
      <c r="W74" s="63"/>
      <c r="X74" s="63"/>
      <c r="Y74" s="64" t="s">
        <v>73</v>
      </c>
      <c r="Z74" s="64"/>
      <c r="AB74" s="2"/>
      <c r="AQ74" s="61" t="s">
        <v>152</v>
      </c>
      <c r="BB74" s="177"/>
    </row>
    <row r="75" spans="1:101" ht="13.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BB75" s="177"/>
    </row>
    <row r="76" spans="1:101" s="3" customFormat="1" ht="13.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BB76" s="177"/>
    </row>
    <row r="77" spans="1:101" s="3" customFormat="1" ht="13.5" customHeight="1" x14ac:dyDescent="0.3">
      <c r="A77" s="9"/>
      <c r="B77" s="127" t="s">
        <v>1</v>
      </c>
      <c r="S77" s="121"/>
      <c r="BB77" s="177"/>
    </row>
    <row r="78" spans="1:101" s="3" customFormat="1" ht="30" customHeight="1" x14ac:dyDescent="0.2">
      <c r="A78" s="9"/>
      <c r="AK78" s="3" t="s">
        <v>127</v>
      </c>
      <c r="BB78" s="176"/>
    </row>
    <row r="79" spans="1:101" s="3" customFormat="1" ht="35.1" customHeight="1" x14ac:dyDescent="0.2">
      <c r="A79" s="9"/>
      <c r="C79" s="17"/>
      <c r="E79" s="17"/>
      <c r="H79" s="163">
        <v>1</v>
      </c>
      <c r="I79" s="187">
        <v>4764</v>
      </c>
      <c r="J79" s="169"/>
      <c r="K79" s="165">
        <v>21</v>
      </c>
      <c r="L79" s="126"/>
      <c r="M79" s="169"/>
      <c r="N79" s="167">
        <v>41</v>
      </c>
      <c r="O79" s="133"/>
      <c r="P79" s="169"/>
      <c r="Q79" s="180">
        <v>61</v>
      </c>
      <c r="R79" s="126"/>
      <c r="S79" s="169"/>
      <c r="T79" s="168">
        <v>81</v>
      </c>
      <c r="U79" s="126"/>
      <c r="V79" s="169"/>
      <c r="Z79" s="3" t="s">
        <v>126</v>
      </c>
      <c r="AA79" s="162">
        <v>1</v>
      </c>
      <c r="AB79" s="162">
        <v>2</v>
      </c>
      <c r="AC79" s="162">
        <v>3</v>
      </c>
      <c r="AD79" s="162">
        <v>4</v>
      </c>
      <c r="AE79" s="162">
        <v>5</v>
      </c>
      <c r="AF79" s="162">
        <v>6</v>
      </c>
      <c r="AG79" s="162">
        <v>7</v>
      </c>
      <c r="AH79" s="162">
        <v>8</v>
      </c>
      <c r="AI79" s="162">
        <v>9</v>
      </c>
      <c r="AJ79" s="162">
        <v>10</v>
      </c>
      <c r="AK79" s="162">
        <v>11</v>
      </c>
      <c r="AL79" s="162">
        <v>12</v>
      </c>
      <c r="AM79" s="162">
        <v>13</v>
      </c>
      <c r="AN79" s="162">
        <v>14</v>
      </c>
      <c r="AO79" s="162">
        <v>15</v>
      </c>
      <c r="AP79" s="162">
        <v>16</v>
      </c>
      <c r="AQ79" s="162">
        <v>17</v>
      </c>
      <c r="AR79" s="162">
        <v>18</v>
      </c>
      <c r="AS79" s="162">
        <v>19</v>
      </c>
      <c r="AT79" s="162">
        <v>20</v>
      </c>
    </row>
    <row r="80" spans="1:101" s="3" customFormat="1" ht="35.1" customHeight="1" x14ac:dyDescent="0.25">
      <c r="A80" s="9"/>
      <c r="B80" s="266" t="s">
        <v>162</v>
      </c>
      <c r="C80" s="266"/>
      <c r="D80" s="266"/>
      <c r="E80" s="266"/>
      <c r="H80" s="163">
        <v>2</v>
      </c>
      <c r="I80" s="187">
        <v>4449</v>
      </c>
      <c r="J80" s="169"/>
      <c r="K80" s="165">
        <v>22</v>
      </c>
      <c r="L80" s="133"/>
      <c r="M80" s="169"/>
      <c r="N80" s="167">
        <v>42</v>
      </c>
      <c r="O80" s="133"/>
      <c r="P80" s="169"/>
      <c r="Q80" s="180">
        <v>62</v>
      </c>
      <c r="R80" s="126"/>
      <c r="S80" s="169"/>
      <c r="T80" s="168">
        <v>82</v>
      </c>
      <c r="U80" s="126"/>
      <c r="V80" s="169"/>
      <c r="Z80" s="160">
        <f>SUM(AA80:AT80,AA84:AT84,AA88:AT88,AA91:AT91,AA94:AT94)/COUNT(AA80:AT80,AA84:AT84,AA88:AT88,AA91:AT91,AA94:AT94)</f>
        <v>4560.7</v>
      </c>
      <c r="AA80" s="158">
        <f>IF(I79="","-",I79)</f>
        <v>4764</v>
      </c>
      <c r="AB80" s="158">
        <f>IF(I80="","-",I80)</f>
        <v>4449</v>
      </c>
      <c r="AC80" s="158">
        <f>IF(I81="","-",I81)</f>
        <v>4746</v>
      </c>
      <c r="AD80" s="158">
        <f>IF(I82="","-",I82)</f>
        <v>4637</v>
      </c>
      <c r="AE80" s="158">
        <f>IF(I83="","-",I83)</f>
        <v>4654</v>
      </c>
      <c r="AF80" s="158">
        <f>IF(I84="","-",I84)</f>
        <v>4636</v>
      </c>
      <c r="AG80" s="158">
        <f>IF(I85="","-",I85)</f>
        <v>4450</v>
      </c>
      <c r="AH80" s="158">
        <f>IF(I86="","-",I86)</f>
        <v>4690</v>
      </c>
      <c r="AI80" s="158">
        <f>IF(I87="","-",I87)</f>
        <v>4600</v>
      </c>
      <c r="AJ80" s="158">
        <f>IF(I88="","-",I88)</f>
        <v>4432</v>
      </c>
      <c r="AK80" s="158">
        <f>IF(I89="","-",I89)</f>
        <v>4745</v>
      </c>
      <c r="AL80" s="158">
        <f>IF(I90="","-",I90)</f>
        <v>4230</v>
      </c>
      <c r="AM80" s="158">
        <f>IF(I91="","-",I91)</f>
        <v>4689</v>
      </c>
      <c r="AN80" s="158">
        <f>IF(I92="","-",I92)</f>
        <v>4448</v>
      </c>
      <c r="AO80" s="158">
        <f>IF(I93="","-",I93)</f>
        <v>4481</v>
      </c>
      <c r="AP80" s="158">
        <f>IF(I94="","-",I94)</f>
        <v>4549</v>
      </c>
      <c r="AQ80" s="158">
        <f>IF(I95="","-",I95)</f>
        <v>4532</v>
      </c>
      <c r="AR80" s="158">
        <f>IF(I96="","-",I96)</f>
        <v>4618</v>
      </c>
      <c r="AS80" s="158">
        <f>IF(I97="","-",I97)</f>
        <v>4464</v>
      </c>
      <c r="AT80" s="158">
        <f>IF(I98="","-",I98)</f>
        <v>4400</v>
      </c>
    </row>
    <row r="81" spans="1:46" s="3" customFormat="1" ht="35.1" customHeight="1" x14ac:dyDescent="0.25">
      <c r="A81" s="9"/>
      <c r="B81" s="266"/>
      <c r="C81" s="266"/>
      <c r="D81" s="266"/>
      <c r="E81" s="266"/>
      <c r="H81" s="163">
        <v>3</v>
      </c>
      <c r="I81" s="187">
        <v>4746</v>
      </c>
      <c r="J81" s="169"/>
      <c r="K81" s="165">
        <v>23</v>
      </c>
      <c r="L81" s="133"/>
      <c r="M81" s="169"/>
      <c r="N81" s="167">
        <v>43</v>
      </c>
      <c r="O81" s="133"/>
      <c r="P81" s="169"/>
      <c r="Q81" s="180">
        <v>63</v>
      </c>
      <c r="R81" s="126"/>
      <c r="S81" s="169"/>
      <c r="T81" s="168">
        <v>83</v>
      </c>
      <c r="U81" s="126"/>
      <c r="V81" s="169"/>
      <c r="AA81" s="159">
        <f t="shared" ref="AA81:AT81" si="5">100-AA80/$Z$80*100</f>
        <v>-4.4576490451027269</v>
      </c>
      <c r="AB81" s="159">
        <f t="shared" si="5"/>
        <v>2.4491854320608581</v>
      </c>
      <c r="AC81" s="159">
        <f t="shared" si="5"/>
        <v>-4.0629727892648191</v>
      </c>
      <c r="AD81" s="159">
        <f t="shared" si="5"/>
        <v>-1.6729887955796272</v>
      </c>
      <c r="AE81" s="159">
        <f t="shared" si="5"/>
        <v>-2.0457385927598892</v>
      </c>
      <c r="AF81" s="159">
        <f t="shared" si="5"/>
        <v>-1.6510623369219672</v>
      </c>
      <c r="AG81" s="159">
        <f t="shared" si="5"/>
        <v>2.4272589734031982</v>
      </c>
      <c r="AH81" s="159">
        <f t="shared" si="5"/>
        <v>-2.835091104435719</v>
      </c>
      <c r="AI81" s="159">
        <f t="shared" si="5"/>
        <v>-0.86170982524613748</v>
      </c>
      <c r="AJ81" s="159">
        <f t="shared" si="5"/>
        <v>2.8219352292411202</v>
      </c>
      <c r="AK81" s="159">
        <f t="shared" si="5"/>
        <v>-4.0410463306071591</v>
      </c>
      <c r="AL81" s="159">
        <f t="shared" si="5"/>
        <v>7.2510798780888877</v>
      </c>
      <c r="AM81" s="159">
        <f t="shared" si="5"/>
        <v>-2.813164645778059</v>
      </c>
      <c r="AN81" s="159">
        <f t="shared" si="5"/>
        <v>2.4711118907185181</v>
      </c>
      <c r="AO81" s="159">
        <f t="shared" si="5"/>
        <v>1.7475387550156825</v>
      </c>
      <c r="AP81" s="159">
        <f t="shared" si="5"/>
        <v>0.25653956629464858</v>
      </c>
      <c r="AQ81" s="159">
        <f t="shared" si="5"/>
        <v>0.6292893634749106</v>
      </c>
      <c r="AR81" s="159">
        <f t="shared" si="5"/>
        <v>-1.2563860810840453</v>
      </c>
      <c r="AS81" s="159">
        <f t="shared" si="5"/>
        <v>2.1202885521959303</v>
      </c>
      <c r="AT81" s="159">
        <f t="shared" si="5"/>
        <v>3.5235819062863101</v>
      </c>
    </row>
    <row r="82" spans="1:46" s="3" customFormat="1" ht="35.1" customHeight="1" x14ac:dyDescent="0.2">
      <c r="A82" s="9"/>
      <c r="H82" s="163">
        <v>4</v>
      </c>
      <c r="I82" s="187">
        <v>4637</v>
      </c>
      <c r="J82" s="169"/>
      <c r="K82" s="165">
        <v>24</v>
      </c>
      <c r="L82" s="133"/>
      <c r="M82" s="169"/>
      <c r="N82" s="167">
        <v>44</v>
      </c>
      <c r="O82" s="133"/>
      <c r="P82" s="169"/>
      <c r="Q82" s="180">
        <v>64</v>
      </c>
      <c r="R82" s="126"/>
      <c r="S82" s="169"/>
      <c r="T82" s="168">
        <v>84</v>
      </c>
      <c r="U82" s="126"/>
      <c r="V82" s="169"/>
    </row>
    <row r="83" spans="1:46" s="3" customFormat="1" ht="35.1" customHeight="1" x14ac:dyDescent="0.35">
      <c r="A83" s="9"/>
      <c r="D83" s="128" t="s">
        <v>33</v>
      </c>
      <c r="H83" s="163">
        <v>5</v>
      </c>
      <c r="I83" s="187">
        <v>4654</v>
      </c>
      <c r="J83" s="169"/>
      <c r="K83" s="165">
        <v>25</v>
      </c>
      <c r="L83" s="133"/>
      <c r="M83" s="169"/>
      <c r="N83" s="167">
        <v>45</v>
      </c>
      <c r="O83" s="126"/>
      <c r="P83" s="169"/>
      <c r="Q83" s="180">
        <v>65</v>
      </c>
      <c r="R83" s="126"/>
      <c r="S83" s="169"/>
      <c r="T83" s="168">
        <v>85</v>
      </c>
      <c r="U83" s="126"/>
      <c r="V83" s="169"/>
      <c r="AA83" s="162">
        <v>21</v>
      </c>
      <c r="AB83" s="162">
        <f>AA83+1</f>
        <v>22</v>
      </c>
      <c r="AC83" s="162">
        <f t="shared" ref="AC83:AT83" si="6">AB83+1</f>
        <v>23</v>
      </c>
      <c r="AD83" s="162">
        <f t="shared" si="6"/>
        <v>24</v>
      </c>
      <c r="AE83" s="162">
        <f t="shared" si="6"/>
        <v>25</v>
      </c>
      <c r="AF83" s="162">
        <f t="shared" si="6"/>
        <v>26</v>
      </c>
      <c r="AG83" s="162">
        <f t="shared" si="6"/>
        <v>27</v>
      </c>
      <c r="AH83" s="162">
        <f t="shared" si="6"/>
        <v>28</v>
      </c>
      <c r="AI83" s="162">
        <f t="shared" si="6"/>
        <v>29</v>
      </c>
      <c r="AJ83" s="162">
        <f t="shared" si="6"/>
        <v>30</v>
      </c>
      <c r="AK83" s="162">
        <f t="shared" si="6"/>
        <v>31</v>
      </c>
      <c r="AL83" s="162">
        <f t="shared" si="6"/>
        <v>32</v>
      </c>
      <c r="AM83" s="162">
        <f t="shared" si="6"/>
        <v>33</v>
      </c>
      <c r="AN83" s="162">
        <f t="shared" si="6"/>
        <v>34</v>
      </c>
      <c r="AO83" s="162">
        <f t="shared" si="6"/>
        <v>35</v>
      </c>
      <c r="AP83" s="162">
        <f t="shared" si="6"/>
        <v>36</v>
      </c>
      <c r="AQ83" s="162">
        <f t="shared" si="6"/>
        <v>37</v>
      </c>
      <c r="AR83" s="162">
        <f t="shared" si="6"/>
        <v>38</v>
      </c>
      <c r="AS83" s="162">
        <f t="shared" si="6"/>
        <v>39</v>
      </c>
      <c r="AT83" s="162">
        <f t="shared" si="6"/>
        <v>40</v>
      </c>
    </row>
    <row r="84" spans="1:46" s="3" customFormat="1" ht="35.1" customHeight="1" x14ac:dyDescent="0.25">
      <c r="A84" s="9"/>
      <c r="C84" s="17"/>
      <c r="D84" s="17"/>
      <c r="E84" s="17"/>
      <c r="F84" s="17"/>
      <c r="G84" s="17"/>
      <c r="H84" s="163">
        <v>6</v>
      </c>
      <c r="I84" s="188">
        <v>4636</v>
      </c>
      <c r="J84" s="169"/>
      <c r="K84" s="165">
        <v>26</v>
      </c>
      <c r="L84" s="133"/>
      <c r="M84" s="169"/>
      <c r="N84" s="167">
        <v>46</v>
      </c>
      <c r="O84" s="126"/>
      <c r="P84" s="169"/>
      <c r="Q84" s="180">
        <v>66</v>
      </c>
      <c r="R84" s="126"/>
      <c r="S84" s="169"/>
      <c r="T84" s="168">
        <v>86</v>
      </c>
      <c r="U84" s="126"/>
      <c r="V84" s="169"/>
      <c r="X84" s="17"/>
      <c r="Y84" s="17"/>
      <c r="AA84" s="158" t="str">
        <f>IF(L79="","-",L79)</f>
        <v>-</v>
      </c>
      <c r="AB84" s="158" t="str">
        <f>IF(L80="","-",L80)</f>
        <v>-</v>
      </c>
      <c r="AC84" s="158" t="str">
        <f>IF(L81="","-",L81)</f>
        <v>-</v>
      </c>
      <c r="AD84" s="158" t="str">
        <f>IF(L82="","-",L82)</f>
        <v>-</v>
      </c>
      <c r="AE84" s="158" t="str">
        <f>IF(L83="","-",L83)</f>
        <v>-</v>
      </c>
      <c r="AF84" s="158" t="str">
        <f>IF(L84="","-",L84)</f>
        <v>-</v>
      </c>
      <c r="AG84" s="158" t="str">
        <f>IF(L85="","-",L85)</f>
        <v>-</v>
      </c>
      <c r="AH84" s="158" t="str">
        <f>IF(L86="","-",L86)</f>
        <v>-</v>
      </c>
      <c r="AI84" s="158" t="str">
        <f>IF(L87="","-",L87)</f>
        <v>-</v>
      </c>
      <c r="AJ84" s="158" t="str">
        <f>IF(L88="","-",L88)</f>
        <v>-</v>
      </c>
      <c r="AK84" s="158" t="str">
        <f>IF(L89="","-",L89)</f>
        <v>-</v>
      </c>
      <c r="AL84" s="158" t="str">
        <f>IF(L90="","-",L90)</f>
        <v>-</v>
      </c>
      <c r="AM84" s="158" t="str">
        <f>IF(L91="","-",L91)</f>
        <v>-</v>
      </c>
      <c r="AN84" s="158" t="str">
        <f>IF(L92="","-",L92)</f>
        <v>-</v>
      </c>
      <c r="AO84" s="158" t="str">
        <f>IF(L93="","-",L93)</f>
        <v>-</v>
      </c>
      <c r="AP84" s="158" t="str">
        <f>IF(L94="","-",L94)</f>
        <v>-</v>
      </c>
      <c r="AQ84" s="158" t="str">
        <f>IF(L95="","-",L95)</f>
        <v>-</v>
      </c>
      <c r="AR84" s="158" t="str">
        <f>IF(L96="","-",L96)</f>
        <v>-</v>
      </c>
      <c r="AS84" s="158" t="str">
        <f>IF(L97="","-",L97)</f>
        <v>-</v>
      </c>
      <c r="AT84" s="158" t="str">
        <f>IF(L98="","-",L98)</f>
        <v>-</v>
      </c>
    </row>
    <row r="85" spans="1:46" s="3" customFormat="1" ht="35.1" customHeight="1" x14ac:dyDescent="0.25">
      <c r="A85" s="267" t="s">
        <v>37</v>
      </c>
      <c r="B85" s="267"/>
      <c r="C85" s="17"/>
      <c r="D85" s="17"/>
      <c r="E85" s="17"/>
      <c r="F85" s="17"/>
      <c r="G85" s="17"/>
      <c r="H85" s="163">
        <v>7</v>
      </c>
      <c r="I85" s="187">
        <v>4450</v>
      </c>
      <c r="J85" s="169"/>
      <c r="K85" s="165">
        <v>27</v>
      </c>
      <c r="L85" s="133"/>
      <c r="M85" s="169"/>
      <c r="N85" s="167">
        <v>47</v>
      </c>
      <c r="O85" s="126"/>
      <c r="P85" s="169"/>
      <c r="Q85" s="180">
        <v>67</v>
      </c>
      <c r="R85" s="126"/>
      <c r="S85" s="169"/>
      <c r="T85" s="168">
        <v>87</v>
      </c>
      <c r="U85" s="126"/>
      <c r="V85" s="169"/>
      <c r="Y85" s="17"/>
      <c r="Z85" s="17"/>
      <c r="AA85" s="159" t="e">
        <f t="shared" ref="AA85:AT85" si="7">100-AA84/$Z$80*100</f>
        <v>#VALUE!</v>
      </c>
      <c r="AB85" s="159" t="e">
        <f t="shared" si="7"/>
        <v>#VALUE!</v>
      </c>
      <c r="AC85" s="159" t="e">
        <f t="shared" si="7"/>
        <v>#VALUE!</v>
      </c>
      <c r="AD85" s="159" t="e">
        <f t="shared" si="7"/>
        <v>#VALUE!</v>
      </c>
      <c r="AE85" s="159" t="e">
        <f t="shared" si="7"/>
        <v>#VALUE!</v>
      </c>
      <c r="AF85" s="159" t="e">
        <f t="shared" si="7"/>
        <v>#VALUE!</v>
      </c>
      <c r="AG85" s="159" t="e">
        <f t="shared" si="7"/>
        <v>#VALUE!</v>
      </c>
      <c r="AH85" s="159" t="e">
        <f t="shared" si="7"/>
        <v>#VALUE!</v>
      </c>
      <c r="AI85" s="159" t="e">
        <f t="shared" si="7"/>
        <v>#VALUE!</v>
      </c>
      <c r="AJ85" s="159" t="e">
        <f t="shared" si="7"/>
        <v>#VALUE!</v>
      </c>
      <c r="AK85" s="159" t="e">
        <f t="shared" si="7"/>
        <v>#VALUE!</v>
      </c>
      <c r="AL85" s="159" t="e">
        <f t="shared" si="7"/>
        <v>#VALUE!</v>
      </c>
      <c r="AM85" s="159" t="e">
        <f t="shared" si="7"/>
        <v>#VALUE!</v>
      </c>
      <c r="AN85" s="159" t="e">
        <f t="shared" si="7"/>
        <v>#VALUE!</v>
      </c>
      <c r="AO85" s="159" t="e">
        <f t="shared" si="7"/>
        <v>#VALUE!</v>
      </c>
      <c r="AP85" s="159" t="e">
        <f t="shared" si="7"/>
        <v>#VALUE!</v>
      </c>
      <c r="AQ85" s="159" t="e">
        <f t="shared" si="7"/>
        <v>#VALUE!</v>
      </c>
      <c r="AR85" s="159" t="e">
        <f t="shared" si="7"/>
        <v>#VALUE!</v>
      </c>
      <c r="AS85" s="159" t="e">
        <f t="shared" si="7"/>
        <v>#VALUE!</v>
      </c>
      <c r="AT85" s="159" t="e">
        <f t="shared" si="7"/>
        <v>#VALUE!</v>
      </c>
    </row>
    <row r="86" spans="1:46" s="3" customFormat="1" ht="35.1" customHeight="1" x14ac:dyDescent="0.2">
      <c r="A86" s="267"/>
      <c r="B86" s="267"/>
      <c r="C86" s="17"/>
      <c r="D86" s="34"/>
      <c r="E86" s="34"/>
      <c r="F86" s="17"/>
      <c r="G86" s="157"/>
      <c r="H86" s="163">
        <v>8</v>
      </c>
      <c r="I86" s="187">
        <v>4690</v>
      </c>
      <c r="J86" s="169"/>
      <c r="K86" s="165">
        <v>28</v>
      </c>
      <c r="L86" s="126"/>
      <c r="M86" s="169"/>
      <c r="N86" s="167">
        <v>48</v>
      </c>
      <c r="O86" s="126"/>
      <c r="P86" s="169"/>
      <c r="Q86" s="180">
        <v>68</v>
      </c>
      <c r="R86" s="126"/>
      <c r="S86" s="169"/>
      <c r="T86" s="168">
        <v>88</v>
      </c>
      <c r="U86" s="126"/>
      <c r="V86" s="169"/>
      <c r="Y86" s="17"/>
      <c r="Z86" s="17"/>
    </row>
    <row r="87" spans="1:46" s="3" customFormat="1" ht="35.1" customHeight="1" x14ac:dyDescent="0.2">
      <c r="A87" s="9"/>
      <c r="C87" s="17"/>
      <c r="D87" s="35"/>
      <c r="E87" s="17"/>
      <c r="F87" s="17"/>
      <c r="H87" s="163">
        <v>9</v>
      </c>
      <c r="I87" s="187">
        <v>4600</v>
      </c>
      <c r="J87" s="169"/>
      <c r="K87" s="165">
        <v>29</v>
      </c>
      <c r="L87" s="133"/>
      <c r="M87" s="169"/>
      <c r="N87" s="167">
        <v>49</v>
      </c>
      <c r="O87" s="133"/>
      <c r="P87" s="169"/>
      <c r="Q87" s="180">
        <v>69</v>
      </c>
      <c r="R87" s="126"/>
      <c r="S87" s="169"/>
      <c r="T87" s="168">
        <v>89</v>
      </c>
      <c r="U87" s="126"/>
      <c r="V87" s="169"/>
      <c r="AA87" s="162">
        <v>41</v>
      </c>
      <c r="AB87" s="162">
        <f>AA87+1</f>
        <v>42</v>
      </c>
      <c r="AC87" s="162">
        <f t="shared" ref="AC87:AT87" si="8">AB87+1</f>
        <v>43</v>
      </c>
      <c r="AD87" s="162">
        <f t="shared" si="8"/>
        <v>44</v>
      </c>
      <c r="AE87" s="162">
        <f t="shared" si="8"/>
        <v>45</v>
      </c>
      <c r="AF87" s="162">
        <f t="shared" si="8"/>
        <v>46</v>
      </c>
      <c r="AG87" s="162">
        <f t="shared" si="8"/>
        <v>47</v>
      </c>
      <c r="AH87" s="162">
        <f t="shared" si="8"/>
        <v>48</v>
      </c>
      <c r="AI87" s="162">
        <f t="shared" si="8"/>
        <v>49</v>
      </c>
      <c r="AJ87" s="162">
        <f t="shared" si="8"/>
        <v>50</v>
      </c>
      <c r="AK87" s="162">
        <f t="shared" si="8"/>
        <v>51</v>
      </c>
      <c r="AL87" s="162">
        <f t="shared" si="8"/>
        <v>52</v>
      </c>
      <c r="AM87" s="162">
        <f t="shared" si="8"/>
        <v>53</v>
      </c>
      <c r="AN87" s="162">
        <f t="shared" si="8"/>
        <v>54</v>
      </c>
      <c r="AO87" s="162">
        <f t="shared" si="8"/>
        <v>55</v>
      </c>
      <c r="AP87" s="162">
        <f t="shared" si="8"/>
        <v>56</v>
      </c>
      <c r="AQ87" s="162">
        <f t="shared" si="8"/>
        <v>57</v>
      </c>
      <c r="AR87" s="162">
        <f t="shared" si="8"/>
        <v>58</v>
      </c>
      <c r="AS87" s="162">
        <f t="shared" si="8"/>
        <v>59</v>
      </c>
      <c r="AT87" s="162">
        <f t="shared" si="8"/>
        <v>60</v>
      </c>
    </row>
    <row r="88" spans="1:46" s="3" customFormat="1" ht="35.1" customHeight="1" x14ac:dyDescent="0.25">
      <c r="A88" s="9"/>
      <c r="C88" s="17"/>
      <c r="D88" s="17"/>
      <c r="E88" s="17"/>
      <c r="F88" s="17"/>
      <c r="G88" s="17"/>
      <c r="H88" s="163">
        <v>10</v>
      </c>
      <c r="I88" s="187">
        <v>4432</v>
      </c>
      <c r="J88" s="169"/>
      <c r="K88" s="165">
        <v>30</v>
      </c>
      <c r="L88" s="133"/>
      <c r="M88" s="169"/>
      <c r="N88" s="167">
        <v>50</v>
      </c>
      <c r="O88" s="133"/>
      <c r="P88" s="169"/>
      <c r="Q88" s="180">
        <v>70</v>
      </c>
      <c r="R88" s="126"/>
      <c r="S88" s="169"/>
      <c r="T88" s="168">
        <v>90</v>
      </c>
      <c r="U88" s="126"/>
      <c r="V88" s="169"/>
      <c r="AA88" s="158" t="str">
        <f>IF(O79="","-",O79)</f>
        <v>-</v>
      </c>
      <c r="AB88" s="158" t="str">
        <f>IF(O80="","-",O80)</f>
        <v>-</v>
      </c>
      <c r="AC88" s="158" t="str">
        <f>IF(O81="","-",O81)</f>
        <v>-</v>
      </c>
      <c r="AD88" s="158" t="str">
        <f>IF(O82="","-",O82)</f>
        <v>-</v>
      </c>
      <c r="AE88" s="158" t="str">
        <f>IF(O83="","-",O83)</f>
        <v>-</v>
      </c>
      <c r="AF88" s="158" t="str">
        <f>IF(O84="","-",O84)</f>
        <v>-</v>
      </c>
      <c r="AG88" s="158" t="str">
        <f>IF(O85="","-",O85)</f>
        <v>-</v>
      </c>
      <c r="AH88" s="158" t="str">
        <f>IF(O86="","-",O86)</f>
        <v>-</v>
      </c>
      <c r="AI88" s="158" t="str">
        <f>IF(O87="","-",O87)</f>
        <v>-</v>
      </c>
      <c r="AJ88" s="158" t="str">
        <f>IF(O88="","-",O88)</f>
        <v>-</v>
      </c>
      <c r="AK88" s="158" t="str">
        <f>IF(O89="","-",O89)</f>
        <v>-</v>
      </c>
      <c r="AL88" s="158" t="str">
        <f>IF(O90="","-",O90)</f>
        <v>-</v>
      </c>
      <c r="AM88" s="158" t="str">
        <f>IF(O91="","-",O91)</f>
        <v>-</v>
      </c>
      <c r="AN88" s="158" t="str">
        <f>IF(O92="","-",O92)</f>
        <v>-</v>
      </c>
      <c r="AO88" s="158" t="str">
        <f>IF(O93="","-",O93)</f>
        <v>-</v>
      </c>
      <c r="AP88" s="158" t="str">
        <f>IF(O94="","-",O94)</f>
        <v>-</v>
      </c>
      <c r="AQ88" s="158" t="str">
        <f>IF(O95="","-",O95)</f>
        <v>-</v>
      </c>
      <c r="AR88" s="158" t="str">
        <f>IF(O96="","-",O96)</f>
        <v>-</v>
      </c>
      <c r="AS88" s="158" t="str">
        <f>IF(O97="","-",O97)</f>
        <v>-</v>
      </c>
      <c r="AT88" s="158" t="str">
        <f>IF(O98="","-",O98)</f>
        <v>-</v>
      </c>
    </row>
    <row r="89" spans="1:46" s="3" customFormat="1" ht="35.1" customHeight="1" x14ac:dyDescent="0.25">
      <c r="F89" s="62"/>
      <c r="G89" s="62"/>
      <c r="H89" s="163">
        <v>11</v>
      </c>
      <c r="I89" s="126">
        <v>4745</v>
      </c>
      <c r="J89" s="169"/>
      <c r="K89" s="165">
        <v>31</v>
      </c>
      <c r="L89" s="133"/>
      <c r="M89" s="169"/>
      <c r="N89" s="167">
        <v>51</v>
      </c>
      <c r="O89" s="133"/>
      <c r="P89" s="169"/>
      <c r="Q89" s="180">
        <v>71</v>
      </c>
      <c r="R89" s="126"/>
      <c r="S89" s="169"/>
      <c r="T89" s="168">
        <v>91</v>
      </c>
      <c r="U89" s="126"/>
      <c r="V89" s="169"/>
      <c r="W89" s="17"/>
      <c r="X89" s="17"/>
      <c r="Y89" s="17"/>
      <c r="Z89" s="17"/>
      <c r="AA89" s="159" t="e">
        <f t="shared" ref="AA89:AT89" si="9">100-AA88/$Z$80*100</f>
        <v>#VALUE!</v>
      </c>
      <c r="AB89" s="159" t="e">
        <f t="shared" si="9"/>
        <v>#VALUE!</v>
      </c>
      <c r="AC89" s="159" t="e">
        <f t="shared" si="9"/>
        <v>#VALUE!</v>
      </c>
      <c r="AD89" s="159" t="e">
        <f t="shared" si="9"/>
        <v>#VALUE!</v>
      </c>
      <c r="AE89" s="159" t="e">
        <f t="shared" si="9"/>
        <v>#VALUE!</v>
      </c>
      <c r="AF89" s="159" t="e">
        <f t="shared" si="9"/>
        <v>#VALUE!</v>
      </c>
      <c r="AG89" s="159" t="e">
        <f t="shared" si="9"/>
        <v>#VALUE!</v>
      </c>
      <c r="AH89" s="159" t="e">
        <f t="shared" si="9"/>
        <v>#VALUE!</v>
      </c>
      <c r="AI89" s="159" t="e">
        <f t="shared" si="9"/>
        <v>#VALUE!</v>
      </c>
      <c r="AJ89" s="159" t="e">
        <f t="shared" si="9"/>
        <v>#VALUE!</v>
      </c>
      <c r="AK89" s="159" t="e">
        <f t="shared" si="9"/>
        <v>#VALUE!</v>
      </c>
      <c r="AL89" s="159" t="e">
        <f t="shared" si="9"/>
        <v>#VALUE!</v>
      </c>
      <c r="AM89" s="159" t="e">
        <f t="shared" si="9"/>
        <v>#VALUE!</v>
      </c>
      <c r="AN89" s="159" t="e">
        <f t="shared" si="9"/>
        <v>#VALUE!</v>
      </c>
      <c r="AO89" s="159" t="e">
        <f t="shared" si="9"/>
        <v>#VALUE!</v>
      </c>
      <c r="AP89" s="159" t="e">
        <f t="shared" si="9"/>
        <v>#VALUE!</v>
      </c>
      <c r="AQ89" s="159" t="e">
        <f t="shared" si="9"/>
        <v>#VALUE!</v>
      </c>
      <c r="AR89" s="159" t="e">
        <f t="shared" si="9"/>
        <v>#VALUE!</v>
      </c>
      <c r="AS89" s="159" t="e">
        <f t="shared" si="9"/>
        <v>#VALUE!</v>
      </c>
      <c r="AT89" s="159" t="e">
        <f t="shared" si="9"/>
        <v>#VALUE!</v>
      </c>
    </row>
    <row r="90" spans="1:46" s="3" customFormat="1" ht="35.1" customHeight="1" x14ac:dyDescent="0.2">
      <c r="H90" s="164">
        <v>12</v>
      </c>
      <c r="I90" s="126">
        <v>4230</v>
      </c>
      <c r="J90" s="169"/>
      <c r="K90" s="166">
        <v>32</v>
      </c>
      <c r="L90" s="126"/>
      <c r="M90" s="169"/>
      <c r="N90" s="167">
        <v>52</v>
      </c>
      <c r="O90" s="126"/>
      <c r="P90" s="169"/>
      <c r="Q90" s="181">
        <v>72</v>
      </c>
      <c r="R90" s="133"/>
      <c r="S90" s="169"/>
      <c r="T90" s="168">
        <f t="shared" ref="T90:T98" si="10">T89+1</f>
        <v>92</v>
      </c>
      <c r="U90" s="133"/>
      <c r="V90" s="169"/>
      <c r="Z90" s="17"/>
      <c r="AA90" s="162">
        <v>61</v>
      </c>
      <c r="AB90" s="162">
        <f>AA90+1</f>
        <v>62</v>
      </c>
      <c r="AC90" s="162">
        <f t="shared" ref="AC90:AT90" si="11">AB90+1</f>
        <v>63</v>
      </c>
      <c r="AD90" s="162">
        <f t="shared" si="11"/>
        <v>64</v>
      </c>
      <c r="AE90" s="162">
        <f t="shared" si="11"/>
        <v>65</v>
      </c>
      <c r="AF90" s="162">
        <f t="shared" si="11"/>
        <v>66</v>
      </c>
      <c r="AG90" s="162">
        <f t="shared" si="11"/>
        <v>67</v>
      </c>
      <c r="AH90" s="162">
        <f t="shared" si="11"/>
        <v>68</v>
      </c>
      <c r="AI90" s="162">
        <f t="shared" si="11"/>
        <v>69</v>
      </c>
      <c r="AJ90" s="162">
        <f t="shared" si="11"/>
        <v>70</v>
      </c>
      <c r="AK90" s="162">
        <f t="shared" si="11"/>
        <v>71</v>
      </c>
      <c r="AL90" s="162">
        <f t="shared" si="11"/>
        <v>72</v>
      </c>
      <c r="AM90" s="162">
        <f t="shared" si="11"/>
        <v>73</v>
      </c>
      <c r="AN90" s="162">
        <f t="shared" si="11"/>
        <v>74</v>
      </c>
      <c r="AO90" s="162">
        <f t="shared" si="11"/>
        <v>75</v>
      </c>
      <c r="AP90" s="162">
        <f t="shared" si="11"/>
        <v>76</v>
      </c>
      <c r="AQ90" s="162">
        <f t="shared" si="11"/>
        <v>77</v>
      </c>
      <c r="AR90" s="162">
        <f t="shared" si="11"/>
        <v>78</v>
      </c>
      <c r="AS90" s="162">
        <f t="shared" si="11"/>
        <v>79</v>
      </c>
      <c r="AT90" s="162">
        <f t="shared" si="11"/>
        <v>80</v>
      </c>
    </row>
    <row r="91" spans="1:46" s="3" customFormat="1" ht="35.1" customHeight="1" x14ac:dyDescent="0.25">
      <c r="G91" s="117"/>
      <c r="H91" s="164">
        <v>13</v>
      </c>
      <c r="I91" s="126">
        <v>4689</v>
      </c>
      <c r="J91" s="169"/>
      <c r="K91" s="166">
        <v>33</v>
      </c>
      <c r="L91" s="126"/>
      <c r="M91" s="169"/>
      <c r="N91" s="167">
        <v>53</v>
      </c>
      <c r="O91" s="133"/>
      <c r="P91" s="169"/>
      <c r="Q91" s="181">
        <v>73</v>
      </c>
      <c r="R91" s="133"/>
      <c r="S91" s="169"/>
      <c r="T91" s="168">
        <f t="shared" si="10"/>
        <v>93</v>
      </c>
      <c r="U91" s="133"/>
      <c r="V91" s="169"/>
      <c r="AA91" s="158" t="str">
        <f>IF(R79="","-",R79)</f>
        <v>-</v>
      </c>
      <c r="AB91" s="158" t="str">
        <f>IF(R80="","-",R80)</f>
        <v>-</v>
      </c>
      <c r="AC91" s="158" t="str">
        <f>IF(R81="","-",R81)</f>
        <v>-</v>
      </c>
      <c r="AD91" s="158" t="str">
        <f>IF(R82="","-",R82)</f>
        <v>-</v>
      </c>
      <c r="AE91" s="158" t="str">
        <f>IF(R83="","-",R83)</f>
        <v>-</v>
      </c>
      <c r="AF91" s="158" t="str">
        <f>IF(R84="","-",R84)</f>
        <v>-</v>
      </c>
      <c r="AG91" s="158" t="str">
        <f>IF(R85="","-",R85)</f>
        <v>-</v>
      </c>
      <c r="AH91" s="158" t="str">
        <f>IF(R86="","-",R86)</f>
        <v>-</v>
      </c>
      <c r="AI91" s="158" t="str">
        <f>IF(R87="","-",R87)</f>
        <v>-</v>
      </c>
      <c r="AJ91" s="158" t="str">
        <f>IF(R88="","-",R88)</f>
        <v>-</v>
      </c>
      <c r="AK91" s="158" t="str">
        <f>IF(R89="","-",R89)</f>
        <v>-</v>
      </c>
      <c r="AL91" s="158" t="str">
        <f>IF(R90="","-",R90)</f>
        <v>-</v>
      </c>
      <c r="AM91" s="158" t="str">
        <f>IF(R91="","-",R91)</f>
        <v>-</v>
      </c>
      <c r="AN91" s="158" t="str">
        <f>IF(R92="","-",R92)</f>
        <v>-</v>
      </c>
      <c r="AO91" s="158" t="str">
        <f>IF(R93="","-",R93)</f>
        <v>-</v>
      </c>
      <c r="AP91" s="158" t="str">
        <f>IF(R94="","-",R94)</f>
        <v>-</v>
      </c>
      <c r="AQ91" s="158" t="str">
        <f>IF(R95="","-",R95)</f>
        <v>-</v>
      </c>
      <c r="AR91" s="158" t="str">
        <f>IF(R96="","-",R96)</f>
        <v>-</v>
      </c>
      <c r="AS91" s="158" t="str">
        <f>IF(R97="","-",R97)</f>
        <v>-</v>
      </c>
      <c r="AT91" s="158" t="str">
        <f>IF(R98="","-",R98)</f>
        <v>-</v>
      </c>
    </row>
    <row r="92" spans="1:46" s="3" customFormat="1" ht="35.1" customHeight="1" x14ac:dyDescent="0.25">
      <c r="A92" s="9"/>
      <c r="B92" s="9"/>
      <c r="C92" s="9"/>
      <c r="D92" s="9"/>
      <c r="E92" s="9"/>
      <c r="F92" s="9"/>
      <c r="G92" s="9"/>
      <c r="H92" s="164">
        <v>14</v>
      </c>
      <c r="I92" s="126">
        <v>4448</v>
      </c>
      <c r="J92" s="169"/>
      <c r="K92" s="166">
        <v>34</v>
      </c>
      <c r="L92" s="155"/>
      <c r="M92" s="169"/>
      <c r="N92" s="167">
        <v>54</v>
      </c>
      <c r="O92" s="133"/>
      <c r="P92" s="169"/>
      <c r="Q92" s="181">
        <v>74</v>
      </c>
      <c r="R92" s="133"/>
      <c r="S92" s="169"/>
      <c r="T92" s="168">
        <f t="shared" si="10"/>
        <v>94</v>
      </c>
      <c r="U92" s="133"/>
      <c r="V92" s="169"/>
      <c r="AA92" s="159" t="e">
        <f t="shared" ref="AA92:AT92" si="12">100-AA91/$Z$80*100</f>
        <v>#VALUE!</v>
      </c>
      <c r="AB92" s="159" t="e">
        <f t="shared" si="12"/>
        <v>#VALUE!</v>
      </c>
      <c r="AC92" s="159" t="e">
        <f t="shared" si="12"/>
        <v>#VALUE!</v>
      </c>
      <c r="AD92" s="159" t="e">
        <f t="shared" si="12"/>
        <v>#VALUE!</v>
      </c>
      <c r="AE92" s="159" t="e">
        <f t="shared" si="12"/>
        <v>#VALUE!</v>
      </c>
      <c r="AF92" s="159" t="e">
        <f t="shared" si="12"/>
        <v>#VALUE!</v>
      </c>
      <c r="AG92" s="159" t="e">
        <f t="shared" si="12"/>
        <v>#VALUE!</v>
      </c>
      <c r="AH92" s="159" t="e">
        <f t="shared" si="12"/>
        <v>#VALUE!</v>
      </c>
      <c r="AI92" s="159" t="e">
        <f t="shared" si="12"/>
        <v>#VALUE!</v>
      </c>
      <c r="AJ92" s="159" t="e">
        <f t="shared" si="12"/>
        <v>#VALUE!</v>
      </c>
      <c r="AK92" s="159" t="e">
        <f t="shared" si="12"/>
        <v>#VALUE!</v>
      </c>
      <c r="AL92" s="159" t="e">
        <f t="shared" si="12"/>
        <v>#VALUE!</v>
      </c>
      <c r="AM92" s="159" t="e">
        <f t="shared" si="12"/>
        <v>#VALUE!</v>
      </c>
      <c r="AN92" s="159" t="e">
        <f t="shared" si="12"/>
        <v>#VALUE!</v>
      </c>
      <c r="AO92" s="159" t="e">
        <f t="shared" si="12"/>
        <v>#VALUE!</v>
      </c>
      <c r="AP92" s="159" t="e">
        <f t="shared" si="12"/>
        <v>#VALUE!</v>
      </c>
      <c r="AQ92" s="159" t="e">
        <f t="shared" si="12"/>
        <v>#VALUE!</v>
      </c>
      <c r="AR92" s="159" t="e">
        <f t="shared" si="12"/>
        <v>#VALUE!</v>
      </c>
      <c r="AS92" s="159" t="e">
        <f t="shared" si="12"/>
        <v>#VALUE!</v>
      </c>
      <c r="AT92" s="159" t="e">
        <f t="shared" si="12"/>
        <v>#VALUE!</v>
      </c>
    </row>
    <row r="93" spans="1:46" s="3" customFormat="1" ht="35.1" customHeight="1" x14ac:dyDescent="0.2">
      <c r="A93" s="9"/>
      <c r="B93" s="9"/>
      <c r="C93" s="9"/>
      <c r="D93" s="9"/>
      <c r="E93" s="9"/>
      <c r="F93" s="9"/>
      <c r="G93" s="9"/>
      <c r="H93" s="164">
        <v>15</v>
      </c>
      <c r="I93" s="126">
        <v>4481</v>
      </c>
      <c r="J93" s="169"/>
      <c r="K93" s="166">
        <v>35</v>
      </c>
      <c r="L93" s="155"/>
      <c r="M93" s="169"/>
      <c r="N93" s="167">
        <v>55</v>
      </c>
      <c r="O93" s="126"/>
      <c r="P93" s="169"/>
      <c r="Q93" s="181">
        <v>75</v>
      </c>
      <c r="R93" s="133"/>
      <c r="S93" s="169"/>
      <c r="T93" s="168">
        <f t="shared" si="10"/>
        <v>95</v>
      </c>
      <c r="U93" s="133"/>
      <c r="V93" s="169"/>
      <c r="W93" s="9"/>
      <c r="X93" s="116"/>
      <c r="AA93" s="162">
        <v>81</v>
      </c>
      <c r="AB93" s="162">
        <f>AA93+1</f>
        <v>82</v>
      </c>
      <c r="AC93" s="162">
        <f t="shared" ref="AC93:AT93" si="13">AB93+1</f>
        <v>83</v>
      </c>
      <c r="AD93" s="162">
        <f t="shared" si="13"/>
        <v>84</v>
      </c>
      <c r="AE93" s="162">
        <f t="shared" si="13"/>
        <v>85</v>
      </c>
      <c r="AF93" s="162">
        <f t="shared" si="13"/>
        <v>86</v>
      </c>
      <c r="AG93" s="162">
        <f t="shared" si="13"/>
        <v>87</v>
      </c>
      <c r="AH93" s="162">
        <f t="shared" si="13"/>
        <v>88</v>
      </c>
      <c r="AI93" s="162">
        <f t="shared" si="13"/>
        <v>89</v>
      </c>
      <c r="AJ93" s="162">
        <f t="shared" si="13"/>
        <v>90</v>
      </c>
      <c r="AK93" s="162">
        <f t="shared" si="13"/>
        <v>91</v>
      </c>
      <c r="AL93" s="162">
        <f t="shared" si="13"/>
        <v>92</v>
      </c>
      <c r="AM93" s="162">
        <f t="shared" si="13"/>
        <v>93</v>
      </c>
      <c r="AN93" s="162">
        <f t="shared" si="13"/>
        <v>94</v>
      </c>
      <c r="AO93" s="162">
        <f t="shared" si="13"/>
        <v>95</v>
      </c>
      <c r="AP93" s="162">
        <f t="shared" si="13"/>
        <v>96</v>
      </c>
      <c r="AQ93" s="162">
        <f t="shared" si="13"/>
        <v>97</v>
      </c>
      <c r="AR93" s="162">
        <f t="shared" si="13"/>
        <v>98</v>
      </c>
      <c r="AS93" s="162">
        <f t="shared" si="13"/>
        <v>99</v>
      </c>
      <c r="AT93" s="162">
        <f t="shared" si="13"/>
        <v>100</v>
      </c>
    </row>
    <row r="94" spans="1:46" s="3" customFormat="1" ht="35.1" customHeight="1" x14ac:dyDescent="0.25">
      <c r="A94" s="9"/>
      <c r="B94" s="9"/>
      <c r="C94" s="9"/>
      <c r="D94" s="9"/>
      <c r="E94" s="9"/>
      <c r="F94" s="9"/>
      <c r="H94" s="164">
        <v>16</v>
      </c>
      <c r="I94" s="126">
        <v>4549</v>
      </c>
      <c r="J94" s="169"/>
      <c r="K94" s="166">
        <v>36</v>
      </c>
      <c r="L94" s="155"/>
      <c r="M94" s="169"/>
      <c r="N94" s="167">
        <v>56</v>
      </c>
      <c r="O94" s="133"/>
      <c r="P94" s="169"/>
      <c r="Q94" s="181">
        <v>76</v>
      </c>
      <c r="R94" s="133"/>
      <c r="S94" s="169"/>
      <c r="T94" s="168">
        <f t="shared" si="10"/>
        <v>96</v>
      </c>
      <c r="U94" s="133"/>
      <c r="V94" s="169"/>
      <c r="AA94" s="158" t="str">
        <f>IF(U79="","-",U79)</f>
        <v>-</v>
      </c>
      <c r="AB94" s="158" t="str">
        <f>IF(U80="","-",U80)</f>
        <v>-</v>
      </c>
      <c r="AC94" s="158" t="str">
        <f>IF(U81="","-",U81)</f>
        <v>-</v>
      </c>
      <c r="AD94" s="158" t="str">
        <f>IF(U82="","-",U82)</f>
        <v>-</v>
      </c>
      <c r="AE94" s="158" t="str">
        <f>IF(U83="","-",U83)</f>
        <v>-</v>
      </c>
      <c r="AF94" s="158" t="str">
        <f>IF(U84="","-",U84)</f>
        <v>-</v>
      </c>
      <c r="AG94" s="158" t="str">
        <f>IF(U85="","-",U85)</f>
        <v>-</v>
      </c>
      <c r="AH94" s="158" t="str">
        <f>IF(U86="","-",U86)</f>
        <v>-</v>
      </c>
      <c r="AI94" s="158" t="str">
        <f>IF(U87="","-",U87)</f>
        <v>-</v>
      </c>
      <c r="AJ94" s="158" t="str">
        <f>IF(U88="","-",U88)</f>
        <v>-</v>
      </c>
      <c r="AK94" s="158" t="str">
        <f>IF(U89="","-",U89)</f>
        <v>-</v>
      </c>
      <c r="AL94" s="158" t="str">
        <f>IF(U90="","-",U90)</f>
        <v>-</v>
      </c>
      <c r="AM94" s="158" t="str">
        <f>IF(U91="","-",U91)</f>
        <v>-</v>
      </c>
      <c r="AN94" s="158" t="str">
        <f>IF(U92="","-",U92)</f>
        <v>-</v>
      </c>
      <c r="AO94" s="158" t="str">
        <f>IF(U93="","-",U93)</f>
        <v>-</v>
      </c>
      <c r="AP94" s="158" t="str">
        <f>IF(U94="","-",U94)</f>
        <v>-</v>
      </c>
      <c r="AQ94" s="158" t="str">
        <f>IF(U95="","-",U95)</f>
        <v>-</v>
      </c>
      <c r="AR94" s="158" t="str">
        <f>IF(U96="","-",U96)</f>
        <v>-</v>
      </c>
      <c r="AS94" s="158" t="str">
        <f>IF(U97="","-",U97)</f>
        <v>-</v>
      </c>
      <c r="AT94" s="158" t="str">
        <f>IF(U98="","-",U98)</f>
        <v>-</v>
      </c>
    </row>
    <row r="95" spans="1:46" s="3" customFormat="1" ht="35.1" customHeight="1" x14ac:dyDescent="0.25">
      <c r="A95" s="9"/>
      <c r="B95" s="9"/>
      <c r="C95" s="9"/>
      <c r="D95" s="9"/>
      <c r="E95" s="9"/>
      <c r="F95" s="9"/>
      <c r="H95" s="164">
        <v>17</v>
      </c>
      <c r="I95" s="126">
        <v>4532</v>
      </c>
      <c r="J95" s="169"/>
      <c r="K95" s="166">
        <v>37</v>
      </c>
      <c r="L95" s="155"/>
      <c r="M95" s="169"/>
      <c r="N95" s="167">
        <v>57</v>
      </c>
      <c r="O95" s="126"/>
      <c r="P95" s="169"/>
      <c r="Q95" s="181">
        <v>77</v>
      </c>
      <c r="R95" s="133"/>
      <c r="S95" s="169"/>
      <c r="T95" s="168">
        <f t="shared" si="10"/>
        <v>97</v>
      </c>
      <c r="U95" s="133"/>
      <c r="V95" s="169"/>
      <c r="X95" s="161" t="s">
        <v>36</v>
      </c>
      <c r="AA95" s="159" t="e">
        <f t="shared" ref="AA95:AT95" si="14">100-AA94/$Z$80*100</f>
        <v>#VALUE!</v>
      </c>
      <c r="AB95" s="159" t="e">
        <f t="shared" si="14"/>
        <v>#VALUE!</v>
      </c>
      <c r="AC95" s="159" t="e">
        <f t="shared" si="14"/>
        <v>#VALUE!</v>
      </c>
      <c r="AD95" s="159" t="e">
        <f t="shared" si="14"/>
        <v>#VALUE!</v>
      </c>
      <c r="AE95" s="159" t="e">
        <f t="shared" si="14"/>
        <v>#VALUE!</v>
      </c>
      <c r="AF95" s="159" t="e">
        <f t="shared" si="14"/>
        <v>#VALUE!</v>
      </c>
      <c r="AG95" s="159" t="e">
        <f t="shared" si="14"/>
        <v>#VALUE!</v>
      </c>
      <c r="AH95" s="159" t="e">
        <f t="shared" si="14"/>
        <v>#VALUE!</v>
      </c>
      <c r="AI95" s="159" t="e">
        <f t="shared" si="14"/>
        <v>#VALUE!</v>
      </c>
      <c r="AJ95" s="159" t="e">
        <f t="shared" si="14"/>
        <v>#VALUE!</v>
      </c>
      <c r="AK95" s="159" t="e">
        <f t="shared" si="14"/>
        <v>#VALUE!</v>
      </c>
      <c r="AL95" s="159" t="e">
        <f t="shared" si="14"/>
        <v>#VALUE!</v>
      </c>
      <c r="AM95" s="159" t="e">
        <f t="shared" si="14"/>
        <v>#VALUE!</v>
      </c>
      <c r="AN95" s="159" t="e">
        <f t="shared" si="14"/>
        <v>#VALUE!</v>
      </c>
      <c r="AO95" s="159" t="e">
        <f t="shared" si="14"/>
        <v>#VALUE!</v>
      </c>
      <c r="AP95" s="159" t="e">
        <f t="shared" si="14"/>
        <v>#VALUE!</v>
      </c>
      <c r="AQ95" s="159" t="e">
        <f t="shared" si="14"/>
        <v>#VALUE!</v>
      </c>
      <c r="AR95" s="159" t="e">
        <f t="shared" si="14"/>
        <v>#VALUE!</v>
      </c>
      <c r="AS95" s="159" t="e">
        <f t="shared" si="14"/>
        <v>#VALUE!</v>
      </c>
      <c r="AT95" s="159" t="e">
        <f t="shared" si="14"/>
        <v>#VALUE!</v>
      </c>
    </row>
    <row r="96" spans="1:46" s="3" customFormat="1" ht="35.1" customHeight="1" x14ac:dyDescent="0.2">
      <c r="A96" s="9"/>
      <c r="C96" s="9"/>
      <c r="D96" s="9"/>
      <c r="E96" s="9"/>
      <c r="F96" s="9"/>
      <c r="G96" s="9"/>
      <c r="H96" s="164">
        <v>18</v>
      </c>
      <c r="I96" s="126">
        <v>4618</v>
      </c>
      <c r="J96" s="169"/>
      <c r="K96" s="166">
        <v>38</v>
      </c>
      <c r="L96" s="155"/>
      <c r="M96" s="169"/>
      <c r="N96" s="167">
        <v>58</v>
      </c>
      <c r="O96" s="155"/>
      <c r="P96" s="169"/>
      <c r="Q96" s="181">
        <v>78</v>
      </c>
      <c r="R96" s="133"/>
      <c r="S96" s="169"/>
      <c r="T96" s="168">
        <f t="shared" si="10"/>
        <v>98</v>
      </c>
      <c r="U96" s="133"/>
      <c r="V96" s="169"/>
      <c r="W96" s="182">
        <v>543</v>
      </c>
      <c r="X96" s="268" t="s">
        <v>157</v>
      </c>
      <c r="Y96" s="268"/>
      <c r="Z96" s="268"/>
      <c r="AA96" s="268"/>
      <c r="AB96" s="268"/>
      <c r="AC96" s="268"/>
      <c r="AD96" s="268"/>
      <c r="AE96" s="268"/>
      <c r="AF96" s="268"/>
      <c r="AG96" s="268"/>
      <c r="AH96" s="268"/>
      <c r="AI96" s="268"/>
      <c r="AJ96" s="268"/>
      <c r="AK96" s="268"/>
      <c r="AL96" s="268"/>
      <c r="AM96" s="268"/>
      <c r="AN96" s="268"/>
      <c r="AO96" s="268"/>
      <c r="AP96" s="268"/>
      <c r="AQ96" s="268"/>
    </row>
    <row r="97" spans="1:43" s="3" customFormat="1" ht="52.5" customHeight="1" x14ac:dyDescent="0.2">
      <c r="A97" s="9"/>
      <c r="B97" s="9"/>
      <c r="C97" s="9"/>
      <c r="D97" s="9"/>
      <c r="E97" s="9"/>
      <c r="F97" s="9"/>
      <c r="H97" s="163">
        <v>19</v>
      </c>
      <c r="I97" s="126">
        <v>4464</v>
      </c>
      <c r="J97" s="169"/>
      <c r="K97" s="165">
        <v>39</v>
      </c>
      <c r="L97" s="155"/>
      <c r="M97" s="169"/>
      <c r="N97" s="167">
        <v>59</v>
      </c>
      <c r="O97" s="155"/>
      <c r="P97" s="169"/>
      <c r="Q97" s="180">
        <v>79</v>
      </c>
      <c r="R97" s="126"/>
      <c r="S97" s="169"/>
      <c r="T97" s="168">
        <f t="shared" si="10"/>
        <v>99</v>
      </c>
      <c r="U97" s="126"/>
      <c r="V97" s="169"/>
      <c r="W97" s="183" t="s">
        <v>133</v>
      </c>
      <c r="X97" s="268"/>
      <c r="Y97" s="268"/>
      <c r="Z97" s="268"/>
      <c r="AA97" s="268"/>
      <c r="AB97" s="268"/>
      <c r="AC97" s="268"/>
      <c r="AD97" s="268"/>
      <c r="AE97" s="268"/>
      <c r="AF97" s="268"/>
      <c r="AG97" s="268"/>
      <c r="AH97" s="268"/>
      <c r="AI97" s="268"/>
      <c r="AJ97" s="268"/>
      <c r="AK97" s="268"/>
      <c r="AL97" s="268"/>
      <c r="AM97" s="268"/>
      <c r="AN97" s="268"/>
      <c r="AO97" s="268"/>
      <c r="AP97" s="268"/>
      <c r="AQ97" s="268"/>
    </row>
    <row r="98" spans="1:43" s="3" customFormat="1" ht="34.5" customHeight="1" x14ac:dyDescent="0.2">
      <c r="A98" s="9"/>
      <c r="H98" s="163">
        <v>20</v>
      </c>
      <c r="I98" s="126">
        <v>4400</v>
      </c>
      <c r="J98" s="169"/>
      <c r="K98" s="165">
        <v>40</v>
      </c>
      <c r="L98" s="155"/>
      <c r="M98" s="169"/>
      <c r="N98" s="167">
        <v>60</v>
      </c>
      <c r="O98" s="155"/>
      <c r="P98" s="169"/>
      <c r="Q98" s="180">
        <v>80</v>
      </c>
      <c r="R98" s="155"/>
      <c r="S98" s="169"/>
      <c r="T98" s="168">
        <f t="shared" si="10"/>
        <v>100</v>
      </c>
      <c r="U98" s="155"/>
      <c r="V98" s="169"/>
      <c r="W98" s="182"/>
      <c r="X98" s="269"/>
      <c r="Y98" s="269"/>
      <c r="Z98" s="269"/>
      <c r="AA98" s="269"/>
      <c r="AB98" s="269"/>
      <c r="AC98" s="269"/>
      <c r="AD98" s="269"/>
      <c r="AE98" s="269"/>
      <c r="AF98" s="269"/>
      <c r="AG98" s="269"/>
      <c r="AH98" s="269"/>
      <c r="AI98" s="269"/>
      <c r="AJ98" s="269"/>
      <c r="AK98" s="269"/>
      <c r="AL98" s="269"/>
      <c r="AM98" s="269"/>
      <c r="AN98" s="269"/>
      <c r="AO98" s="269"/>
      <c r="AP98" s="269"/>
      <c r="AQ98" s="269"/>
    </row>
    <row r="99" spans="1:43" s="3" customFormat="1" ht="35.1" customHeight="1" x14ac:dyDescent="0.2">
      <c r="A99" s="9"/>
      <c r="V99" s="169"/>
      <c r="W99" s="183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69"/>
      <c r="AI99" s="269"/>
      <c r="AJ99" s="269"/>
      <c r="AK99" s="269"/>
      <c r="AL99" s="269"/>
      <c r="AM99" s="269"/>
      <c r="AN99" s="269"/>
      <c r="AO99" s="269"/>
      <c r="AP99" s="269"/>
      <c r="AQ99" s="269"/>
    </row>
    <row r="100" spans="1:43" s="3" customFormat="1" ht="35.1" customHeight="1" x14ac:dyDescent="0.2">
      <c r="A100" s="9"/>
      <c r="V100" s="169"/>
      <c r="W100" s="182"/>
      <c r="X100" s="270"/>
      <c r="Y100" s="270"/>
      <c r="Z100" s="270"/>
      <c r="AA100" s="270"/>
      <c r="AB100" s="270"/>
      <c r="AC100" s="270"/>
      <c r="AD100" s="270"/>
      <c r="AE100" s="270"/>
      <c r="AF100" s="270"/>
      <c r="AG100" s="270"/>
      <c r="AH100" s="270"/>
      <c r="AI100" s="270"/>
      <c r="AJ100" s="270"/>
      <c r="AK100" s="270"/>
      <c r="AL100" s="270"/>
      <c r="AM100" s="270"/>
      <c r="AN100" s="270"/>
      <c r="AO100" s="270"/>
      <c r="AP100" s="270"/>
      <c r="AQ100" s="270"/>
    </row>
    <row r="101" spans="1:43" s="3" customFormat="1" ht="35.1" customHeight="1" x14ac:dyDescent="0.2">
      <c r="A101" s="9"/>
      <c r="V101" s="169"/>
      <c r="W101" s="183"/>
      <c r="X101" s="270"/>
      <c r="Y101" s="270"/>
      <c r="Z101" s="270"/>
      <c r="AA101" s="270"/>
      <c r="AB101" s="270"/>
      <c r="AC101" s="270"/>
      <c r="AD101" s="270"/>
      <c r="AE101" s="270"/>
      <c r="AF101" s="270"/>
      <c r="AG101" s="270"/>
      <c r="AH101" s="270"/>
      <c r="AI101" s="270"/>
      <c r="AJ101" s="270"/>
      <c r="AK101" s="270"/>
      <c r="AL101" s="270"/>
      <c r="AM101" s="270"/>
      <c r="AN101" s="270"/>
      <c r="AO101" s="270"/>
      <c r="AP101" s="270"/>
      <c r="AQ101" s="270"/>
    </row>
    <row r="102" spans="1:43" s="3" customFormat="1" ht="35.1" customHeight="1" x14ac:dyDescent="0.2">
      <c r="A102" s="9"/>
      <c r="V102" s="169"/>
      <c r="W102" s="182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I102" s="271"/>
      <c r="AJ102" s="271"/>
      <c r="AK102" s="271"/>
      <c r="AL102" s="271"/>
      <c r="AM102" s="271"/>
      <c r="AN102" s="271"/>
      <c r="AO102" s="271"/>
      <c r="AP102" s="271"/>
      <c r="AQ102" s="271"/>
    </row>
    <row r="103" spans="1:43" s="3" customFormat="1" ht="35.1" customHeight="1" x14ac:dyDescent="0.2">
      <c r="A103" s="9"/>
      <c r="W103" s="183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  <c r="AK103" s="271"/>
      <c r="AL103" s="271"/>
      <c r="AM103" s="271"/>
      <c r="AN103" s="271"/>
      <c r="AO103" s="271"/>
      <c r="AP103" s="271"/>
      <c r="AQ103" s="271"/>
    </row>
    <row r="104" spans="1:43" s="3" customFormat="1" ht="35.1" customHeight="1" x14ac:dyDescent="0.2">
      <c r="A104" s="9"/>
      <c r="J104" s="37"/>
      <c r="K104" s="37"/>
      <c r="L104" s="37"/>
      <c r="M104" s="37"/>
      <c r="N104" s="37"/>
      <c r="O104" s="17"/>
      <c r="P104" s="17"/>
      <c r="Q104" s="17"/>
      <c r="R104" s="17"/>
      <c r="S104" s="17"/>
      <c r="T104" s="17"/>
      <c r="U104" s="17"/>
      <c r="V104" s="17"/>
      <c r="W104" s="182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</row>
    <row r="105" spans="1:43" s="3" customFormat="1" ht="35.1" customHeight="1" x14ac:dyDescent="0.2">
      <c r="A105" s="9"/>
      <c r="J105" s="37"/>
      <c r="K105" s="37"/>
      <c r="L105" s="37"/>
      <c r="M105" s="37"/>
      <c r="N105" s="37"/>
      <c r="W105" s="183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</row>
    <row r="106" spans="1:43" s="3" customFormat="1" ht="35.1" customHeight="1" x14ac:dyDescent="0.2">
      <c r="A106" s="9"/>
      <c r="C106" s="17"/>
      <c r="D106" s="17"/>
      <c r="E106" s="17"/>
      <c r="F106" s="17"/>
      <c r="G106" s="9"/>
      <c r="H106" s="9"/>
      <c r="J106" s="37"/>
      <c r="K106" s="37"/>
      <c r="L106" s="37"/>
      <c r="M106" s="37"/>
      <c r="N106" s="37"/>
    </row>
    <row r="107" spans="1:43" s="3" customFormat="1" ht="35.1" customHeight="1" x14ac:dyDescent="0.3">
      <c r="A107" s="9"/>
      <c r="C107" s="130"/>
      <c r="D107" s="131"/>
      <c r="E107" s="17"/>
      <c r="J107" s="37"/>
      <c r="K107" s="37"/>
      <c r="L107" s="37"/>
      <c r="M107" s="37"/>
      <c r="N107" s="37"/>
    </row>
    <row r="108" spans="1:43" s="3" customFormat="1" ht="35.1" customHeight="1" x14ac:dyDescent="0.3">
      <c r="A108" s="9"/>
      <c r="C108" s="131"/>
      <c r="D108" s="131"/>
      <c r="E108" s="17"/>
      <c r="F108" s="17"/>
      <c r="G108" s="117"/>
      <c r="J108" s="37"/>
      <c r="K108" s="37"/>
      <c r="L108" s="37"/>
      <c r="M108" s="37"/>
      <c r="N108" s="37"/>
      <c r="AI108" s="37"/>
      <c r="AJ108" s="37"/>
      <c r="AK108" s="37"/>
      <c r="AL108" s="37"/>
      <c r="AM108" s="37"/>
    </row>
    <row r="109" spans="1:43" s="3" customFormat="1" ht="35.1" customHeight="1" x14ac:dyDescent="0.3">
      <c r="A109" s="9"/>
      <c r="C109" s="131"/>
      <c r="D109" s="131"/>
      <c r="E109" s="17"/>
      <c r="F109" s="17"/>
      <c r="G109" s="117"/>
      <c r="J109" s="37"/>
      <c r="K109" s="37"/>
      <c r="L109" s="37"/>
      <c r="M109" s="37"/>
      <c r="N109" s="37"/>
      <c r="AI109" s="37"/>
      <c r="AJ109" s="37"/>
      <c r="AK109" s="37"/>
      <c r="AL109" s="37"/>
      <c r="AM109" s="37"/>
    </row>
    <row r="110" spans="1:43" s="3" customFormat="1" ht="35.1" customHeight="1" x14ac:dyDescent="0.3">
      <c r="A110" s="9"/>
      <c r="C110" s="131"/>
      <c r="D110" s="131"/>
      <c r="E110" s="17"/>
      <c r="F110" s="17"/>
      <c r="G110" s="11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</row>
    <row r="111" spans="1:43" s="3" customFormat="1" ht="35.1" customHeight="1" x14ac:dyDescent="0.3">
      <c r="A111" s="9"/>
      <c r="C111" s="131"/>
      <c r="D111" s="131"/>
      <c r="E111" s="17"/>
      <c r="F111" s="17"/>
      <c r="G111" s="11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</row>
    <row r="112" spans="1:43" s="3" customFormat="1" ht="35.1" customHeight="1" x14ac:dyDescent="0.3">
      <c r="A112" s="9"/>
      <c r="C112" s="131"/>
      <c r="D112" s="131"/>
      <c r="E112" s="17"/>
      <c r="F112" s="17"/>
      <c r="G112" s="11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</row>
    <row r="113" spans="1:39" s="3" customFormat="1" ht="35.1" customHeight="1" x14ac:dyDescent="0.3">
      <c r="A113" s="9"/>
      <c r="C113" s="131"/>
      <c r="D113" s="131"/>
      <c r="E113" s="17"/>
      <c r="F113" s="17"/>
      <c r="G113" s="11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</row>
    <row r="114" spans="1:39" s="3" customFormat="1" ht="35.1" customHeight="1" x14ac:dyDescent="0.3">
      <c r="A114" s="9"/>
      <c r="C114" s="131"/>
      <c r="D114" s="131"/>
      <c r="E114" s="17"/>
      <c r="F114" s="17"/>
      <c r="G114" s="11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</row>
    <row r="115" spans="1:39" s="3" customFormat="1" ht="35.1" customHeight="1" x14ac:dyDescent="0.3">
      <c r="A115" s="9"/>
      <c r="C115" s="130"/>
      <c r="D115" s="131"/>
      <c r="E115" s="17"/>
      <c r="G115" s="62"/>
      <c r="H115" s="6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</row>
    <row r="116" spans="1:39" s="3" customFormat="1" ht="13.5" customHeight="1" x14ac:dyDescent="0.3">
      <c r="A116" s="9"/>
      <c r="C116" s="131"/>
      <c r="D116" s="131"/>
      <c r="E116" s="17"/>
      <c r="F116" s="17"/>
      <c r="G116" s="17"/>
      <c r="H116" s="1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</row>
    <row r="117" spans="1:39" s="3" customFormat="1" ht="13.5" customHeight="1" x14ac:dyDescent="0.3">
      <c r="A117" s="9"/>
      <c r="C117" s="130"/>
      <c r="D117" s="130"/>
      <c r="E117" s="17"/>
      <c r="F117" s="17"/>
      <c r="G117" s="17"/>
      <c r="H117" s="1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</row>
    <row r="118" spans="1:39" s="3" customFormat="1" ht="13.5" customHeight="1" x14ac:dyDescent="0.3">
      <c r="D118" s="131"/>
      <c r="E118" s="17"/>
      <c r="F118" s="17"/>
      <c r="G118" s="17"/>
      <c r="H118" s="17"/>
      <c r="I118" s="1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</row>
    <row r="119" spans="1:39" s="3" customFormat="1" ht="13.5" customHeight="1" x14ac:dyDescent="0.3">
      <c r="C119" s="131"/>
      <c r="D119" s="131"/>
      <c r="E119" s="17"/>
      <c r="F119" s="17"/>
      <c r="G119" s="17"/>
      <c r="H119" s="17"/>
      <c r="I119" s="1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</row>
    <row r="120" spans="1:39" s="3" customFormat="1" ht="13.5" customHeight="1" x14ac:dyDescent="0.2">
      <c r="C120" s="17"/>
      <c r="D120" s="17"/>
      <c r="E120" s="17"/>
      <c r="F120" s="17"/>
      <c r="G120" s="17"/>
      <c r="H120" s="17"/>
      <c r="I120" s="1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</row>
    <row r="121" spans="1:39" s="3" customFormat="1" ht="11.25" customHeight="1" x14ac:dyDescent="0.2">
      <c r="C121" s="17"/>
      <c r="D121" s="17"/>
      <c r="E121" s="17"/>
      <c r="F121" s="17"/>
      <c r="G121" s="17"/>
      <c r="H121" s="17"/>
      <c r="I121" s="1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</row>
    <row r="122" spans="1:39" s="3" customFormat="1" ht="9.75" customHeight="1" x14ac:dyDescent="0.2">
      <c r="C122" s="17"/>
      <c r="D122" s="17"/>
      <c r="E122" s="17"/>
      <c r="F122" s="17"/>
      <c r="G122" s="17"/>
      <c r="H122" s="17"/>
      <c r="I122" s="1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</row>
    <row r="123" spans="1:39" s="3" customFormat="1" ht="13.5" customHeight="1" x14ac:dyDescent="0.2">
      <c r="C123" s="17"/>
      <c r="D123" s="17"/>
      <c r="E123" s="17"/>
      <c r="F123" s="65"/>
      <c r="G123" s="17"/>
      <c r="H123" s="17"/>
      <c r="I123" s="1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</row>
    <row r="124" spans="1:39" s="3" customFormat="1" ht="13.5" customHeight="1" x14ac:dyDescent="0.2">
      <c r="C124" s="17"/>
      <c r="D124" s="17"/>
      <c r="E124" s="17"/>
      <c r="I124" s="1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spans="1:39" s="3" customFormat="1" ht="13.5" customHeight="1" x14ac:dyDescent="0.2">
      <c r="C125" s="17"/>
      <c r="D125" s="17"/>
      <c r="E125" s="1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spans="1:39" s="3" customFormat="1" ht="13.5" customHeight="1" x14ac:dyDescent="0.2">
      <c r="C126" s="17"/>
      <c r="D126" s="17"/>
      <c r="E126" s="1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spans="1:39" s="3" customFormat="1" ht="13.5" customHeight="1" x14ac:dyDescent="0.2">
      <c r="C127" s="17"/>
      <c r="D127" s="17"/>
      <c r="E127" s="17"/>
      <c r="F127" s="17"/>
      <c r="G127" s="17"/>
      <c r="H127" s="17"/>
      <c r="I127" s="1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spans="1:39" s="3" customFormat="1" ht="13.5" customHeight="1" x14ac:dyDescent="0.2">
      <c r="C128" s="17"/>
      <c r="D128" s="17"/>
      <c r="E128" s="17"/>
      <c r="F128" s="17"/>
      <c r="G128" s="17"/>
      <c r="H128" s="17"/>
      <c r="I128" s="1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spans="3:33" s="3" customFormat="1" ht="13.5" customHeight="1" x14ac:dyDescent="0.2">
      <c r="C129" s="17"/>
      <c r="D129" s="17"/>
      <c r="E129" s="17"/>
      <c r="F129" s="17"/>
      <c r="G129" s="17"/>
      <c r="AC129" s="17"/>
      <c r="AD129" s="17"/>
      <c r="AE129" s="17"/>
      <c r="AF129" s="17"/>
      <c r="AG129" s="17"/>
    </row>
    <row r="130" spans="3:33" s="3" customFormat="1" ht="13.5" customHeight="1" x14ac:dyDescent="0.2"/>
    <row r="131" spans="3:33" s="3" customFormat="1" ht="13.5" customHeight="1" x14ac:dyDescent="0.2"/>
    <row r="132" spans="3:33" s="3" customFormat="1" ht="13.5" customHeight="1" x14ac:dyDescent="0.2"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3:33" s="3" customFormat="1" ht="13.5" customHeight="1" x14ac:dyDescent="0.2">
      <c r="I133" s="141">
        <v>21</v>
      </c>
      <c r="J133" s="141">
        <v>21</v>
      </c>
      <c r="K133" s="141">
        <v>21</v>
      </c>
      <c r="L133" s="141">
        <v>21</v>
      </c>
      <c r="M133" s="141">
        <v>21</v>
      </c>
      <c r="N133" s="141">
        <v>21</v>
      </c>
      <c r="O133" s="141">
        <v>21</v>
      </c>
      <c r="P133" s="141">
        <v>21</v>
      </c>
      <c r="Q133" s="141">
        <v>21</v>
      </c>
      <c r="R133" s="141">
        <v>21</v>
      </c>
      <c r="S133" s="141">
        <v>21</v>
      </c>
      <c r="T133" s="141">
        <v>21</v>
      </c>
      <c r="U133" s="141">
        <v>21</v>
      </c>
      <c r="V133" s="141">
        <v>21</v>
      </c>
      <c r="W133" s="141">
        <v>21</v>
      </c>
      <c r="X133" s="141">
        <v>21</v>
      </c>
      <c r="Y133" s="141">
        <v>21</v>
      </c>
      <c r="Z133" s="141">
        <v>21</v>
      </c>
      <c r="AA133" s="141">
        <v>21</v>
      </c>
      <c r="AB133" s="141">
        <v>21</v>
      </c>
    </row>
    <row r="134" spans="3:33" s="3" customFormat="1" ht="13.5" customHeight="1" x14ac:dyDescent="0.2"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33"/>
      <c r="U134" s="133"/>
      <c r="V134" s="133"/>
      <c r="W134" s="133"/>
      <c r="X134" s="133"/>
      <c r="Y134" s="133"/>
      <c r="Z134" s="133"/>
      <c r="AA134" s="126"/>
      <c r="AB134" s="132"/>
    </row>
    <row r="135" spans="3:33" s="3" customFormat="1" ht="13.5" customHeight="1" x14ac:dyDescent="0.2"/>
    <row r="136" spans="3:33" s="3" customFormat="1" ht="13.5" customHeight="1" x14ac:dyDescent="0.2">
      <c r="I136" s="149">
        <v>41</v>
      </c>
      <c r="J136" s="149">
        <f>I136+1</f>
        <v>42</v>
      </c>
      <c r="K136" s="149">
        <f t="shared" ref="K136:AB136" si="15">J136+1</f>
        <v>43</v>
      </c>
      <c r="L136" s="149">
        <f t="shared" si="15"/>
        <v>44</v>
      </c>
      <c r="M136" s="149">
        <f t="shared" si="15"/>
        <v>45</v>
      </c>
      <c r="N136" s="149">
        <f t="shared" si="15"/>
        <v>46</v>
      </c>
      <c r="O136" s="149">
        <f t="shared" si="15"/>
        <v>47</v>
      </c>
      <c r="P136" s="149">
        <f t="shared" si="15"/>
        <v>48</v>
      </c>
      <c r="Q136" s="149">
        <f t="shared" si="15"/>
        <v>49</v>
      </c>
      <c r="R136" s="149">
        <f t="shared" si="15"/>
        <v>50</v>
      </c>
      <c r="S136" s="149">
        <f t="shared" si="15"/>
        <v>51</v>
      </c>
      <c r="T136" s="149">
        <f t="shared" si="15"/>
        <v>52</v>
      </c>
      <c r="U136" s="149">
        <f t="shared" si="15"/>
        <v>53</v>
      </c>
      <c r="V136" s="149">
        <f t="shared" si="15"/>
        <v>54</v>
      </c>
      <c r="W136" s="149">
        <f t="shared" si="15"/>
        <v>55</v>
      </c>
      <c r="X136" s="149">
        <f t="shared" si="15"/>
        <v>56</v>
      </c>
      <c r="Y136" s="149">
        <f t="shared" si="15"/>
        <v>57</v>
      </c>
      <c r="Z136" s="149">
        <f t="shared" si="15"/>
        <v>58</v>
      </c>
      <c r="AA136" s="149">
        <f t="shared" si="15"/>
        <v>59</v>
      </c>
      <c r="AB136" s="149">
        <f t="shared" si="15"/>
        <v>60</v>
      </c>
    </row>
    <row r="137" spans="3:33" s="3" customFormat="1" ht="13.5" customHeight="1" x14ac:dyDescent="0.2"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33"/>
      <c r="U137" s="133"/>
      <c r="V137" s="133"/>
      <c r="W137" s="133"/>
      <c r="X137" s="133"/>
      <c r="Y137" s="133"/>
      <c r="Z137" s="133"/>
      <c r="AA137" s="126"/>
      <c r="AB137" s="132"/>
    </row>
    <row r="138" spans="3:33" s="3" customFormat="1" ht="13.5" customHeight="1" x14ac:dyDescent="0.2"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3:33" s="3" customFormat="1" ht="13.5" customHeight="1" x14ac:dyDescent="0.2">
      <c r="I139" s="149">
        <v>61</v>
      </c>
      <c r="J139" s="149">
        <f>I139+1</f>
        <v>62</v>
      </c>
      <c r="K139" s="149">
        <f t="shared" ref="K139:AB139" si="16">J139+1</f>
        <v>63</v>
      </c>
      <c r="L139" s="149">
        <f t="shared" si="16"/>
        <v>64</v>
      </c>
      <c r="M139" s="149">
        <f t="shared" si="16"/>
        <v>65</v>
      </c>
      <c r="N139" s="149">
        <f t="shared" si="16"/>
        <v>66</v>
      </c>
      <c r="O139" s="149">
        <f t="shared" si="16"/>
        <v>67</v>
      </c>
      <c r="P139" s="149">
        <f t="shared" si="16"/>
        <v>68</v>
      </c>
      <c r="Q139" s="149">
        <f t="shared" si="16"/>
        <v>69</v>
      </c>
      <c r="R139" s="149">
        <f t="shared" si="16"/>
        <v>70</v>
      </c>
      <c r="S139" s="149">
        <f t="shared" si="16"/>
        <v>71</v>
      </c>
      <c r="T139" s="149">
        <f t="shared" si="16"/>
        <v>72</v>
      </c>
      <c r="U139" s="149">
        <f t="shared" si="16"/>
        <v>73</v>
      </c>
      <c r="V139" s="149">
        <f t="shared" si="16"/>
        <v>74</v>
      </c>
      <c r="W139" s="149">
        <f t="shared" si="16"/>
        <v>75</v>
      </c>
      <c r="X139" s="149">
        <f t="shared" si="16"/>
        <v>76</v>
      </c>
      <c r="Y139" s="149">
        <f t="shared" si="16"/>
        <v>77</v>
      </c>
      <c r="Z139" s="149">
        <f t="shared" si="16"/>
        <v>78</v>
      </c>
      <c r="AA139" s="149">
        <f t="shared" si="16"/>
        <v>79</v>
      </c>
      <c r="AB139" s="149">
        <f t="shared" si="16"/>
        <v>80</v>
      </c>
    </row>
    <row r="140" spans="3:33" s="3" customFormat="1" ht="13.5" customHeight="1" x14ac:dyDescent="0.2"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33"/>
      <c r="U140" s="133"/>
      <c r="V140" s="133"/>
      <c r="W140" s="133"/>
      <c r="X140" s="133"/>
      <c r="Y140" s="133"/>
      <c r="Z140" s="133"/>
      <c r="AA140" s="126"/>
      <c r="AB140" s="132"/>
    </row>
    <row r="141" spans="3:33" s="3" customFormat="1" ht="13.5" customHeight="1" x14ac:dyDescent="0.2">
      <c r="I141" s="62"/>
      <c r="J141" s="17"/>
      <c r="K141" s="17"/>
    </row>
    <row r="142" spans="3:33" s="3" customFormat="1" ht="13.5" customHeight="1" x14ac:dyDescent="0.2">
      <c r="I142" s="17"/>
      <c r="J142" s="119"/>
      <c r="K142" s="119"/>
      <c r="L142" s="119"/>
      <c r="M142" s="119"/>
      <c r="N142" s="119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</row>
    <row r="143" spans="3:33" s="3" customFormat="1" ht="13.5" customHeight="1" x14ac:dyDescent="0.2">
      <c r="I143" s="17"/>
      <c r="J143" s="119"/>
      <c r="K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</row>
    <row r="144" spans="3:33" s="3" customFormat="1" ht="13.5" customHeight="1" x14ac:dyDescent="0.2"/>
    <row r="145" s="3" customFormat="1" ht="13.5" customHeight="1" x14ac:dyDescent="0.2"/>
    <row r="146" s="3" customFormat="1" ht="13.5" customHeight="1" x14ac:dyDescent="0.2"/>
    <row r="147" s="3" customFormat="1" ht="13.5" customHeight="1" x14ac:dyDescent="0.2"/>
    <row r="148" s="3" customFormat="1" ht="13.5" customHeight="1" x14ac:dyDescent="0.2"/>
    <row r="149" s="3" customFormat="1" ht="13.5" customHeight="1" x14ac:dyDescent="0.2"/>
    <row r="150" s="3" customFormat="1" ht="13.5" customHeight="1" x14ac:dyDescent="0.2"/>
    <row r="151" s="3" customFormat="1" ht="13.5" customHeight="1" x14ac:dyDescent="0.2"/>
    <row r="152" s="3" customFormat="1" ht="13.5" customHeight="1" x14ac:dyDescent="0.2"/>
    <row r="153" s="3" customFormat="1" ht="13.5" customHeight="1" x14ac:dyDescent="0.2"/>
    <row r="154" s="3" customFormat="1" ht="13.5" customHeight="1" x14ac:dyDescent="0.2"/>
    <row r="155" s="3" customFormat="1" ht="13.5" customHeight="1" x14ac:dyDescent="0.2"/>
    <row r="156" s="3" customFormat="1" ht="13.5" customHeight="1" x14ac:dyDescent="0.2"/>
    <row r="157" s="3" customFormat="1" ht="13.5" customHeight="1" x14ac:dyDescent="0.2"/>
    <row r="158" s="3" customFormat="1" ht="13.5" customHeight="1" x14ac:dyDescent="0.2"/>
    <row r="159" s="3" customFormat="1" ht="13.5" customHeight="1" x14ac:dyDescent="0.2"/>
    <row r="160" s="3" customFormat="1" ht="13.5" customHeight="1" x14ac:dyDescent="0.2"/>
    <row r="161" spans="3:28" s="3" customFormat="1" ht="13.5" customHeight="1" x14ac:dyDescent="0.2"/>
    <row r="162" spans="3:28" s="3" customFormat="1" ht="13.5" customHeight="1" x14ac:dyDescent="0.2"/>
    <row r="163" spans="3:28" s="3" customFormat="1" ht="13.5" customHeight="1" x14ac:dyDescent="0.2"/>
    <row r="164" spans="3:28" s="3" customFormat="1" ht="13.5" customHeight="1" x14ac:dyDescent="0.2"/>
    <row r="165" spans="3:28" s="3" customFormat="1" ht="13.5" customHeight="1" x14ac:dyDescent="0.2"/>
    <row r="166" spans="3:28" s="3" customFormat="1" ht="13.5" customHeight="1" x14ac:dyDescent="0.2"/>
    <row r="167" spans="3:28" s="3" customFormat="1" ht="13.5" customHeight="1" x14ac:dyDescent="0.2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 spans="3:28" s="3" customFormat="1" ht="13.5" customHeight="1" x14ac:dyDescent="0.2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 spans="3:28" s="3" customFormat="1" ht="13.5" customHeight="1" x14ac:dyDescent="0.2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 spans="3:28" s="3" customFormat="1" ht="13.5" customHeight="1" x14ac:dyDescent="0.2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 spans="3:28" s="3" customFormat="1" ht="13.5" customHeight="1" x14ac:dyDescent="0.2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 spans="3:28" s="3" customFormat="1" ht="13.5" customHeight="1" x14ac:dyDescent="0.2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 spans="3:28" s="3" customFormat="1" ht="13.5" customHeight="1" x14ac:dyDescent="0.2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 spans="3:28" s="3" customFormat="1" ht="13.5" customHeight="1" x14ac:dyDescent="0.2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 spans="3:28" s="3" customFormat="1" ht="13.5" customHeight="1" x14ac:dyDescent="0.2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 spans="3:28" s="3" customFormat="1" ht="13.5" customHeight="1" x14ac:dyDescent="0.2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 spans="3:28" s="3" customFormat="1" ht="13.5" customHeight="1" x14ac:dyDescent="0.2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 spans="3:28" s="3" customFormat="1" ht="13.5" customHeight="1" x14ac:dyDescent="0.2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 spans="3:28" s="3" customFormat="1" ht="13.5" customHeight="1" x14ac:dyDescent="0.2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 spans="3:28" s="3" customFormat="1" ht="13.5" customHeight="1" x14ac:dyDescent="0.2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 spans="3:28" s="3" customFormat="1" ht="13.5" customHeight="1" x14ac:dyDescent="0.2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 spans="3:28" s="3" customFormat="1" ht="13.5" customHeight="1" x14ac:dyDescent="0.2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 spans="3:28" s="3" customFormat="1" ht="13.5" customHeight="1" x14ac:dyDescent="0.2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 spans="3:28" s="3" customFormat="1" ht="13.5" customHeight="1" x14ac:dyDescent="0.2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 spans="3:28" s="3" customFormat="1" ht="13.5" customHeight="1" x14ac:dyDescent="0.2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 spans="3:28" s="3" customFormat="1" ht="13.5" customHeight="1" x14ac:dyDescent="0.2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 spans="3:28" s="3" customFormat="1" ht="13.5" customHeight="1" x14ac:dyDescent="0.2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 spans="3:28" s="3" customFormat="1" ht="13.5" customHeight="1" x14ac:dyDescent="0.2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 spans="3:28" s="3" customFormat="1" ht="13.5" customHeight="1" x14ac:dyDescent="0.2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 spans="3:28" s="3" customFormat="1" ht="13.5" customHeight="1" x14ac:dyDescent="0.2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 spans="3:28" s="3" customFormat="1" ht="13.5" customHeight="1" x14ac:dyDescent="0.2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 spans="3:28" s="3" customFormat="1" ht="13.5" customHeight="1" x14ac:dyDescent="0.2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 spans="3:28" s="3" customFormat="1" ht="13.5" customHeight="1" x14ac:dyDescent="0.2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 spans="3:28" s="3" customFormat="1" ht="13.5" customHeight="1" x14ac:dyDescent="0.2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 spans="3:28" s="3" customFormat="1" ht="13.5" customHeight="1" x14ac:dyDescent="0.2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 spans="3:28" s="3" customFormat="1" ht="13.5" customHeight="1" x14ac:dyDescent="0.2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 spans="3:28" s="3" customFormat="1" ht="13.5" customHeight="1" x14ac:dyDescent="0.2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 spans="3:28" s="3" customFormat="1" ht="13.5" customHeight="1" x14ac:dyDescent="0.2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 spans="3:28" s="3" customFormat="1" ht="13.5" customHeight="1" x14ac:dyDescent="0.2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 spans="3:28" s="3" customFormat="1" ht="13.5" customHeight="1" x14ac:dyDescent="0.2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 spans="3:28" s="3" customFormat="1" ht="13.5" customHeight="1" x14ac:dyDescent="0.2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 spans="3:28" s="3" customFormat="1" ht="13.5" customHeight="1" x14ac:dyDescent="0.2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 spans="3:28" s="3" customFormat="1" ht="13.5" customHeight="1" x14ac:dyDescent="0.2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 spans="3:28" s="3" customFormat="1" ht="13.5" customHeight="1" x14ac:dyDescent="0.2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 spans="3:28" s="3" customFormat="1" ht="13.5" customHeight="1" x14ac:dyDescent="0.2"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 spans="3:28" s="3" customFormat="1" ht="13.5" customHeight="1" x14ac:dyDescent="0.2"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 spans="3:28" s="3" customFormat="1" ht="13.5" customHeight="1" x14ac:dyDescent="0.2"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 spans="3:28" s="3" customFormat="1" ht="13.5" customHeight="1" x14ac:dyDescent="0.2"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 spans="3:28" s="3" customFormat="1" ht="13.5" customHeight="1" x14ac:dyDescent="0.2"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 spans="3:28" s="3" customFormat="1" ht="13.5" customHeight="1" x14ac:dyDescent="0.2"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 spans="3:28" s="3" customFormat="1" ht="13.5" customHeight="1" x14ac:dyDescent="0.2"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 spans="3:28" s="3" customFormat="1" ht="13.5" customHeight="1" x14ac:dyDescent="0.2"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 spans="3:28" s="3" customFormat="1" ht="13.5" customHeight="1" x14ac:dyDescent="0.2"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 spans="3:28" s="3" customFormat="1" ht="13.5" customHeight="1" x14ac:dyDescent="0.2"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 spans="3:28" s="3" customFormat="1" ht="13.5" customHeight="1" x14ac:dyDescent="0.2"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 spans="3:28" s="3" customFormat="1" ht="13.5" customHeight="1" x14ac:dyDescent="0.2"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 spans="3:28" s="3" customFormat="1" ht="13.5" customHeight="1" x14ac:dyDescent="0.2"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 spans="3:28" s="3" customFormat="1" ht="13.5" customHeight="1" x14ac:dyDescent="0.2"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 spans="3:28" s="3" customFormat="1" ht="13.5" customHeight="1" x14ac:dyDescent="0.2"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 spans="3:28" s="3" customFormat="1" ht="13.5" customHeight="1" x14ac:dyDescent="0.2"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 spans="3:28" s="3" customFormat="1" ht="13.5" customHeight="1" x14ac:dyDescent="0.2"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 spans="3:28" s="3" customFormat="1" ht="13.5" customHeight="1" x14ac:dyDescent="0.2"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 spans="3:28" s="3" customFormat="1" ht="13.5" customHeight="1" x14ac:dyDescent="0.2"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 spans="3:28" s="3" customFormat="1" ht="13.5" customHeight="1" x14ac:dyDescent="0.2"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 spans="3:28" s="3" customFormat="1" ht="13.5" customHeight="1" x14ac:dyDescent="0.2"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 spans="3:28" s="3" customFormat="1" ht="13.5" customHeight="1" x14ac:dyDescent="0.2"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 spans="3:28" s="3" customFormat="1" ht="13.5" customHeight="1" x14ac:dyDescent="0.2"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 spans="3:28" s="3" customFormat="1" ht="13.5" customHeight="1" x14ac:dyDescent="0.2"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 spans="3:28" s="3" customFormat="1" ht="13.5" customHeight="1" x14ac:dyDescent="0.2"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 spans="3:28" s="3" customFormat="1" ht="13.5" customHeight="1" x14ac:dyDescent="0.2"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 spans="3:28" s="3" customFormat="1" ht="13.5" customHeight="1" x14ac:dyDescent="0.2"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 spans="3:28" s="3" customFormat="1" ht="13.5" customHeight="1" x14ac:dyDescent="0.2"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 spans="3:28" s="3" customFormat="1" ht="13.5" customHeight="1" x14ac:dyDescent="0.2"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 spans="3:28" s="3" customFormat="1" ht="13.5" customHeight="1" x14ac:dyDescent="0.2"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 spans="3:28" s="3" customFormat="1" ht="13.5" customHeight="1" x14ac:dyDescent="0.2"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 spans="3:28" s="3" customFormat="1" ht="13.5" customHeight="1" x14ac:dyDescent="0.2"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 spans="3:28" s="3" customFormat="1" ht="13.5" customHeight="1" x14ac:dyDescent="0.2"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 spans="3:28" s="3" customFormat="1" ht="13.5" customHeight="1" x14ac:dyDescent="0.2"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 spans="3:28" s="3" customFormat="1" ht="13.5" customHeight="1" x14ac:dyDescent="0.2"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 spans="3:28" s="3" customFormat="1" ht="13.5" customHeight="1" x14ac:dyDescent="0.2"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 spans="3:28" s="3" customFormat="1" ht="13.5" customHeight="1" x14ac:dyDescent="0.2"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 spans="3:28" s="3" customFormat="1" ht="13.5" customHeight="1" x14ac:dyDescent="0.2"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 spans="3:28" s="3" customFormat="1" ht="13.5" customHeight="1" x14ac:dyDescent="0.2"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 spans="3:28" s="3" customFormat="1" ht="13.5" customHeight="1" x14ac:dyDescent="0.2"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 spans="3:28" s="3" customFormat="1" ht="13.5" customHeight="1" x14ac:dyDescent="0.2"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 spans="3:28" s="3" customFormat="1" ht="13.5" customHeight="1" x14ac:dyDescent="0.2"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 spans="3:28" s="3" customFormat="1" ht="13.5" customHeight="1" x14ac:dyDescent="0.2"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 spans="3:28" s="3" customFormat="1" ht="13.5" customHeight="1" x14ac:dyDescent="0.2"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 spans="3:28" s="3" customFormat="1" ht="13.5" customHeight="1" x14ac:dyDescent="0.2"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 spans="3:28" s="3" customFormat="1" ht="13.5" customHeight="1" x14ac:dyDescent="0.2"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 spans="3:28" s="3" customFormat="1" ht="13.5" customHeight="1" x14ac:dyDescent="0.2"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 spans="3:28" s="3" customFormat="1" ht="13.5" customHeight="1" x14ac:dyDescent="0.2"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 spans="3:28" s="3" customFormat="1" ht="13.5" customHeight="1" x14ac:dyDescent="0.2"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 spans="3:28" s="3" customFormat="1" ht="13.5" customHeight="1" x14ac:dyDescent="0.2"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 spans="3:28" s="3" customFormat="1" ht="13.5" customHeight="1" x14ac:dyDescent="0.2"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 spans="3:28" s="3" customFormat="1" ht="13.5" customHeight="1" x14ac:dyDescent="0.2"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 spans="3:28" s="3" customFormat="1" ht="13.5" customHeight="1" x14ac:dyDescent="0.2"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 spans="3:28" s="3" customFormat="1" ht="13.5" customHeight="1" x14ac:dyDescent="0.2"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 spans="3:28" s="3" customFormat="1" ht="13.5" customHeight="1" x14ac:dyDescent="0.2"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 spans="3:28" s="3" customFormat="1" ht="13.5" customHeight="1" x14ac:dyDescent="0.2"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</sheetData>
  <mergeCells count="104">
    <mergeCell ref="H21:AA21"/>
    <mergeCell ref="H22:AA22"/>
    <mergeCell ref="C3:AB3"/>
    <mergeCell ref="G6:AB6"/>
    <mergeCell ref="G7:AB7"/>
    <mergeCell ref="G8:AB9"/>
    <mergeCell ref="H10:AA11"/>
    <mergeCell ref="U12:AA12"/>
    <mergeCell ref="AT22:AT23"/>
    <mergeCell ref="AU22:AU23"/>
    <mergeCell ref="U13:AA13"/>
    <mergeCell ref="H15:T15"/>
    <mergeCell ref="C17:G17"/>
    <mergeCell ref="H17:AA18"/>
    <mergeCell ref="C18:G18"/>
    <mergeCell ref="C19:G23"/>
    <mergeCell ref="H19:AA19"/>
    <mergeCell ref="H20:AA20"/>
    <mergeCell ref="AV22:AV23"/>
    <mergeCell ref="H23:AA23"/>
    <mergeCell ref="C24:G27"/>
    <mergeCell ref="H24:AA27"/>
    <mergeCell ref="C28:G30"/>
    <mergeCell ref="H28:AA30"/>
    <mergeCell ref="AP22:AP24"/>
    <mergeCell ref="AQ22:AQ23"/>
    <mergeCell ref="AR22:AR23"/>
    <mergeCell ref="AS22:AS23"/>
    <mergeCell ref="L32:Q32"/>
    <mergeCell ref="S32:W32"/>
    <mergeCell ref="C35:C37"/>
    <mergeCell ref="D35:D37"/>
    <mergeCell ref="E35:E37"/>
    <mergeCell ref="F35:F37"/>
    <mergeCell ref="G35:AA37"/>
    <mergeCell ref="C38:C40"/>
    <mergeCell ref="D38:D40"/>
    <mergeCell ref="E38:E40"/>
    <mergeCell ref="F38:F40"/>
    <mergeCell ref="C41:C43"/>
    <mergeCell ref="D41:D43"/>
    <mergeCell ref="E41:E43"/>
    <mergeCell ref="F41:F43"/>
    <mergeCell ref="G41:AA43"/>
    <mergeCell ref="C44:C46"/>
    <mergeCell ref="D44:D46"/>
    <mergeCell ref="E44:E46"/>
    <mergeCell ref="F44:F46"/>
    <mergeCell ref="G51:AA51"/>
    <mergeCell ref="C52:C54"/>
    <mergeCell ref="D52:D54"/>
    <mergeCell ref="E52:E54"/>
    <mergeCell ref="F52:F54"/>
    <mergeCell ref="G55:AA55"/>
    <mergeCell ref="C56:C58"/>
    <mergeCell ref="D56:D58"/>
    <mergeCell ref="E56:E58"/>
    <mergeCell ref="F56:F58"/>
    <mergeCell ref="C59:C61"/>
    <mergeCell ref="D59:D61"/>
    <mergeCell ref="E59:E61"/>
    <mergeCell ref="F59:F61"/>
    <mergeCell ref="G59:AA61"/>
    <mergeCell ref="C62:C64"/>
    <mergeCell ref="D62:D64"/>
    <mergeCell ref="E62:E64"/>
    <mergeCell ref="F62:F64"/>
    <mergeCell ref="G65:AA65"/>
    <mergeCell ref="G66:AA66"/>
    <mergeCell ref="D68:M68"/>
    <mergeCell ref="F69:M69"/>
    <mergeCell ref="N69:S69"/>
    <mergeCell ref="T69:W69"/>
    <mergeCell ref="X69:Z69"/>
    <mergeCell ref="F70:M70"/>
    <mergeCell ref="N70:S70"/>
    <mergeCell ref="T70:W70"/>
    <mergeCell ref="X70:Z70"/>
    <mergeCell ref="F71:M71"/>
    <mergeCell ref="N71:S71"/>
    <mergeCell ref="T71:W71"/>
    <mergeCell ref="X71:Z71"/>
    <mergeCell ref="F72:M72"/>
    <mergeCell ref="N72:S72"/>
    <mergeCell ref="T72:W72"/>
    <mergeCell ref="X72:Z72"/>
    <mergeCell ref="F73:M73"/>
    <mergeCell ref="N73:S73"/>
    <mergeCell ref="T73:W73"/>
    <mergeCell ref="X73:Z73"/>
    <mergeCell ref="X104:AQ105"/>
    <mergeCell ref="B80:E81"/>
    <mergeCell ref="A85:B86"/>
    <mergeCell ref="X96:AQ97"/>
    <mergeCell ref="X98:AQ99"/>
    <mergeCell ref="X100:AQ101"/>
    <mergeCell ref="X102:AQ103"/>
    <mergeCell ref="AD69:AH70"/>
    <mergeCell ref="AD37:AF37"/>
    <mergeCell ref="AD40:AF40"/>
    <mergeCell ref="AD66:AD68"/>
    <mergeCell ref="AF66:AF68"/>
    <mergeCell ref="AH66:AH68"/>
    <mergeCell ref="AD39:AH39"/>
  </mergeCells>
  <conditionalFormatting sqref="AA81:AT81">
    <cfRule type="cellIs" dxfId="24" priority="25" stopIfTrue="1" operator="between">
      <formula>-10</formula>
      <formula>10</formula>
    </cfRule>
  </conditionalFormatting>
  <conditionalFormatting sqref="AA80:AT80">
    <cfRule type="cellIs" dxfId="23" priority="23" stopIfTrue="1" operator="lessThan">
      <formula>3038</formula>
    </cfRule>
    <cfRule type="cellIs" dxfId="22" priority="24" stopIfTrue="1" operator="greaterThan">
      <formula>5263</formula>
    </cfRule>
  </conditionalFormatting>
  <conditionalFormatting sqref="AA88:AT88">
    <cfRule type="cellIs" dxfId="21" priority="19" stopIfTrue="1" operator="lessThan">
      <formula>3038</formula>
    </cfRule>
    <cfRule type="cellIs" dxfId="20" priority="20" stopIfTrue="1" operator="greaterThan">
      <formula>5263</formula>
    </cfRule>
  </conditionalFormatting>
  <conditionalFormatting sqref="AA84:AT84">
    <cfRule type="cellIs" dxfId="19" priority="21" stopIfTrue="1" operator="lessThan">
      <formula>3038</formula>
    </cfRule>
    <cfRule type="cellIs" dxfId="18" priority="22" stopIfTrue="1" operator="greaterThan">
      <formula>5263</formula>
    </cfRule>
  </conditionalFormatting>
  <conditionalFormatting sqref="AA91:AT91">
    <cfRule type="cellIs" dxfId="17" priority="17" stopIfTrue="1" operator="lessThan">
      <formula>3038</formula>
    </cfRule>
    <cfRule type="cellIs" dxfId="16" priority="18" stopIfTrue="1" operator="greaterThan">
      <formula>5263</formula>
    </cfRule>
  </conditionalFormatting>
  <conditionalFormatting sqref="AA94:AT94">
    <cfRule type="cellIs" dxfId="15" priority="15" stopIfTrue="1" operator="lessThan">
      <formula>3038</formula>
    </cfRule>
    <cfRule type="cellIs" dxfId="14" priority="16" stopIfTrue="1" operator="greaterThan">
      <formula>5263</formula>
    </cfRule>
  </conditionalFormatting>
  <conditionalFormatting sqref="AA85:AT85">
    <cfRule type="cellIs" dxfId="13" priority="14" stopIfTrue="1" operator="between">
      <formula>-10</formula>
      <formula>10</formula>
    </cfRule>
  </conditionalFormatting>
  <conditionalFormatting sqref="AA89:AT89">
    <cfRule type="cellIs" dxfId="12" priority="13" stopIfTrue="1" operator="between">
      <formula>-10</formula>
      <formula>10</formula>
    </cfRule>
  </conditionalFormatting>
  <conditionalFormatting sqref="AA92:AT92">
    <cfRule type="cellIs" dxfId="11" priority="12" stopIfTrue="1" operator="between">
      <formula>-10</formula>
      <formula>10</formula>
    </cfRule>
  </conditionalFormatting>
  <conditionalFormatting sqref="AA95:AT95">
    <cfRule type="cellIs" dxfId="10" priority="11" stopIfTrue="1" operator="between">
      <formula>-10</formula>
      <formula>10</formula>
    </cfRule>
  </conditionalFormatting>
  <conditionalFormatting sqref="I79:I95">
    <cfRule type="duplicateValues" dxfId="9" priority="10" stopIfTrue="1"/>
  </conditionalFormatting>
  <conditionalFormatting sqref="L79:L98">
    <cfRule type="duplicateValues" dxfId="8" priority="9" stopIfTrue="1"/>
  </conditionalFormatting>
  <conditionalFormatting sqref="O79:O98">
    <cfRule type="duplicateValues" dxfId="7" priority="8" stopIfTrue="1"/>
  </conditionalFormatting>
  <conditionalFormatting sqref="R79:R98">
    <cfRule type="duplicateValues" dxfId="6" priority="7" stopIfTrue="1"/>
  </conditionalFormatting>
  <conditionalFormatting sqref="U79:U98">
    <cfRule type="duplicateValues" dxfId="5" priority="6" stopIfTrue="1"/>
  </conditionalFormatting>
  <conditionalFormatting sqref="I89:I98">
    <cfRule type="duplicateValues" dxfId="4" priority="5" stopIfTrue="1"/>
  </conditionalFormatting>
  <conditionalFormatting sqref="U79:U98 R79:R98 O79:O98 L79:L98 I79:I98">
    <cfRule type="duplicateValues" dxfId="3" priority="4" stopIfTrue="1"/>
  </conditionalFormatting>
  <conditionalFormatting sqref="U79:U98 R79:R98 O79:O98 L79:L98 I79:I98">
    <cfRule type="duplicateValues" dxfId="2" priority="3" stopIfTrue="1"/>
  </conditionalFormatting>
  <conditionalFormatting sqref="I88:I91">
    <cfRule type="duplicateValues" dxfId="1" priority="2" stopIfTrue="1"/>
  </conditionalFormatting>
  <conditionalFormatting sqref="R79:R98 U79:U98 O79:O98 L79:L98 I79:I98">
    <cfRule type="duplicateValues" dxfId="0" priority="1" stopIfTrue="1"/>
  </conditionalFormatting>
  <dataValidations count="7">
    <dataValidation type="list" allowBlank="1" showInputMessage="1" showErrorMessage="1" sqref="F70:M70">
      <formula1>$AK$42:$AK$43</formula1>
    </dataValidation>
    <dataValidation type="list" allowBlank="1" showInputMessage="1" showErrorMessage="1" sqref="N72:S72">
      <formula1>$AO$35:$AO$40</formula1>
    </dataValidation>
    <dataValidation type="list" allowBlank="1" showInputMessage="1" showErrorMessage="1" sqref="N70:S71">
      <formula1>$AJ$31:$AJ$37</formula1>
    </dataValidation>
    <dataValidation type="list" allowBlank="1" showInputMessage="1" showErrorMessage="1" sqref="N73:S73">
      <formula1>$AQ$71:$AQ$74</formula1>
    </dataValidation>
    <dataValidation type="list" allowBlank="1" showInputMessage="1" showErrorMessage="1" sqref="AD38 AD66:AD68">
      <formula1>$BB$2:$BB$32</formula1>
    </dataValidation>
    <dataValidation type="list" allowBlank="1" showInputMessage="1" showErrorMessage="1" sqref="AF38 AF66:AF68">
      <formula1>$BA$2:$BA$13</formula1>
    </dataValidation>
    <dataValidation type="list" allowBlank="1" showInputMessage="1" showErrorMessage="1" sqref="AH38 AH66:AH68">
      <formula1>$AZ$2:$AZ$8</formula1>
    </dataValidation>
  </dataValidations>
  <pageMargins left="0.23622047244094491" right="0.23622047244094491" top="0.35433070866141736" bottom="0.35433070866141736" header="0.31496062992125984" footer="0.31496062992125984"/>
  <pageSetup paperSize="9" scale="53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8532" r:id="rId4" name="Drop Down 4">
              <controlPr locked="0" defaultSize="0" autoLine="0" autoPict="0">
                <anchor moveWithCells="1">
                  <from>
                    <xdr:col>4</xdr:col>
                    <xdr:colOff>666750</xdr:colOff>
                    <xdr:row>81</xdr:row>
                    <xdr:rowOff>257175</xdr:rowOff>
                  </from>
                  <to>
                    <xdr:col>6</xdr:col>
                    <xdr:colOff>57150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33" r:id="rId5" name="Drop Down 5">
              <controlPr locked="0" defaultSize="0" autoLine="0" autoPict="0">
                <anchor moveWithCells="1">
                  <from>
                    <xdr:col>2</xdr:col>
                    <xdr:colOff>152400</xdr:colOff>
                    <xdr:row>83</xdr:row>
                    <xdr:rowOff>361950</xdr:rowOff>
                  </from>
                  <to>
                    <xdr:col>5</xdr:col>
                    <xdr:colOff>180975</xdr:colOff>
                    <xdr:row>85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Град 15-18.04.20</vt:lpstr>
      <vt:lpstr>Протокол</vt:lpstr>
      <vt:lpstr>Протокол!Область_печати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8801817835189</cp:lastModifiedBy>
  <cp:lastPrinted>2021-02-01T11:17:29Z</cp:lastPrinted>
  <dcterms:created xsi:type="dcterms:W3CDTF">1996-10-08T23:32:33Z</dcterms:created>
  <dcterms:modified xsi:type="dcterms:W3CDTF">2021-02-15T11:23:48Z</dcterms:modified>
</cp:coreProperties>
</file>