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4\"/>
    </mc:Choice>
  </mc:AlternateContent>
  <bookViews>
    <workbookView minimized="1" xWindow="0" yWindow="0" windowWidth="23040" windowHeight="9072"/>
  </bookViews>
  <sheets>
    <sheet name="Mean" sheetId="1" r:id="rId1"/>
    <sheet name="Dry" sheetId="2" r:id="rId2"/>
    <sheet name="We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D34" i="2" l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I34" i="3" l="1"/>
  <c r="J34" i="3" s="1"/>
  <c r="K34" i="3" s="1"/>
  <c r="L34" i="3" s="1"/>
  <c r="E34" i="3"/>
  <c r="F34" i="3" s="1"/>
  <c r="G34" i="3" s="1"/>
  <c r="H34" i="3" s="1"/>
  <c r="P34" i="3"/>
  <c r="I33" i="3"/>
  <c r="J33" i="3" s="1"/>
  <c r="K33" i="3" s="1"/>
  <c r="L33" i="3" s="1"/>
  <c r="E33" i="3"/>
  <c r="F33" i="3" s="1"/>
  <c r="G33" i="3" s="1"/>
  <c r="H33" i="3" s="1"/>
  <c r="P33" i="3"/>
  <c r="I32" i="3"/>
  <c r="J32" i="3" s="1"/>
  <c r="K32" i="3" s="1"/>
  <c r="L32" i="3" s="1"/>
  <c r="E32" i="3"/>
  <c r="F32" i="3" s="1"/>
  <c r="G32" i="3" s="1"/>
  <c r="H32" i="3" s="1"/>
  <c r="M32" i="3" s="1"/>
  <c r="P32" i="3"/>
  <c r="J31" i="3"/>
  <c r="K31" i="3" s="1"/>
  <c r="L31" i="3" s="1"/>
  <c r="I31" i="3"/>
  <c r="E31" i="3"/>
  <c r="F31" i="3" s="1"/>
  <c r="G31" i="3" s="1"/>
  <c r="H31" i="3" s="1"/>
  <c r="P31" i="3"/>
  <c r="I30" i="3"/>
  <c r="J30" i="3" s="1"/>
  <c r="K30" i="3" s="1"/>
  <c r="L30" i="3" s="1"/>
  <c r="E30" i="3"/>
  <c r="F30" i="3" s="1"/>
  <c r="G30" i="3" s="1"/>
  <c r="H30" i="3" s="1"/>
  <c r="M30" i="3" s="1"/>
  <c r="P30" i="3"/>
  <c r="J29" i="3"/>
  <c r="K29" i="3" s="1"/>
  <c r="L29" i="3" s="1"/>
  <c r="I29" i="3"/>
  <c r="E29" i="3"/>
  <c r="F29" i="3" s="1"/>
  <c r="G29" i="3" s="1"/>
  <c r="H29" i="3" s="1"/>
  <c r="P29" i="3"/>
  <c r="I28" i="3"/>
  <c r="J28" i="3" s="1"/>
  <c r="K28" i="3" s="1"/>
  <c r="L28" i="3" s="1"/>
  <c r="E28" i="3"/>
  <c r="F28" i="3" s="1"/>
  <c r="G28" i="3" s="1"/>
  <c r="H28" i="3" s="1"/>
  <c r="M28" i="3" s="1"/>
  <c r="P28" i="3"/>
  <c r="I27" i="3"/>
  <c r="J27" i="3" s="1"/>
  <c r="K27" i="3" s="1"/>
  <c r="L27" i="3" s="1"/>
  <c r="F27" i="3"/>
  <c r="G27" i="3" s="1"/>
  <c r="H27" i="3" s="1"/>
  <c r="E27" i="3"/>
  <c r="P27" i="3"/>
  <c r="I26" i="3"/>
  <c r="J26" i="3" s="1"/>
  <c r="K26" i="3" s="1"/>
  <c r="L26" i="3" s="1"/>
  <c r="E26" i="3"/>
  <c r="F26" i="3" s="1"/>
  <c r="G26" i="3" s="1"/>
  <c r="H26" i="3" s="1"/>
  <c r="M26" i="3" s="1"/>
  <c r="P26" i="3"/>
  <c r="I25" i="3"/>
  <c r="J25" i="3" s="1"/>
  <c r="K25" i="3" s="1"/>
  <c r="L25" i="3" s="1"/>
  <c r="E25" i="3"/>
  <c r="F25" i="3" s="1"/>
  <c r="G25" i="3" s="1"/>
  <c r="H25" i="3" s="1"/>
  <c r="P25" i="3"/>
  <c r="I24" i="3"/>
  <c r="J24" i="3" s="1"/>
  <c r="K24" i="3" s="1"/>
  <c r="L24" i="3" s="1"/>
  <c r="E24" i="3"/>
  <c r="F24" i="3" s="1"/>
  <c r="G24" i="3" s="1"/>
  <c r="H24" i="3" s="1"/>
  <c r="P24" i="3"/>
  <c r="I23" i="3"/>
  <c r="J23" i="3" s="1"/>
  <c r="K23" i="3" s="1"/>
  <c r="L23" i="3" s="1"/>
  <c r="F23" i="3"/>
  <c r="G23" i="3" s="1"/>
  <c r="H23" i="3" s="1"/>
  <c r="E23" i="3"/>
  <c r="P23" i="3"/>
  <c r="J22" i="3"/>
  <c r="K22" i="3" s="1"/>
  <c r="L22" i="3" s="1"/>
  <c r="I22" i="3"/>
  <c r="E22" i="3"/>
  <c r="F22" i="3" s="1"/>
  <c r="G22" i="3" s="1"/>
  <c r="H22" i="3" s="1"/>
  <c r="P22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K21" i="3"/>
  <c r="L21" i="3" s="1"/>
  <c r="J21" i="3"/>
  <c r="I21" i="3"/>
  <c r="E21" i="3"/>
  <c r="F21" i="3" s="1"/>
  <c r="G21" i="3" s="1"/>
  <c r="H21" i="3" s="1"/>
  <c r="P21" i="3"/>
  <c r="A21" i="3"/>
  <c r="I20" i="3"/>
  <c r="J20" i="3" s="1"/>
  <c r="K20" i="3" s="1"/>
  <c r="L20" i="3" s="1"/>
  <c r="F20" i="3"/>
  <c r="G20" i="3" s="1"/>
  <c r="H20" i="3" s="1"/>
  <c r="E20" i="3"/>
  <c r="P20" i="3"/>
  <c r="I34" i="2"/>
  <c r="J34" i="2" s="1"/>
  <c r="K34" i="2" s="1"/>
  <c r="L34" i="2" s="1"/>
  <c r="E34" i="2"/>
  <c r="F34" i="2" s="1"/>
  <c r="G34" i="2" s="1"/>
  <c r="H34" i="2" s="1"/>
  <c r="M34" i="2" s="1"/>
  <c r="P34" i="2"/>
  <c r="I33" i="2"/>
  <c r="J33" i="2" s="1"/>
  <c r="K33" i="2" s="1"/>
  <c r="L33" i="2" s="1"/>
  <c r="E33" i="2"/>
  <c r="F33" i="2" s="1"/>
  <c r="G33" i="2" s="1"/>
  <c r="H33" i="2" s="1"/>
  <c r="P33" i="2"/>
  <c r="I32" i="2"/>
  <c r="J32" i="2" s="1"/>
  <c r="K32" i="2" s="1"/>
  <c r="L32" i="2" s="1"/>
  <c r="E32" i="2"/>
  <c r="F32" i="2" s="1"/>
  <c r="G32" i="2" s="1"/>
  <c r="H32" i="2" s="1"/>
  <c r="M32" i="2" s="1"/>
  <c r="N32" i="2" s="1"/>
  <c r="O32" i="2" s="1"/>
  <c r="Q32" i="2" s="1"/>
  <c r="P32" i="2"/>
  <c r="I31" i="2"/>
  <c r="J31" i="2" s="1"/>
  <c r="K31" i="2" s="1"/>
  <c r="L31" i="2" s="1"/>
  <c r="F31" i="2"/>
  <c r="G31" i="2" s="1"/>
  <c r="H31" i="2" s="1"/>
  <c r="E31" i="2"/>
  <c r="P31" i="2"/>
  <c r="I30" i="2"/>
  <c r="J30" i="2" s="1"/>
  <c r="K30" i="2" s="1"/>
  <c r="L30" i="2" s="1"/>
  <c r="E30" i="2"/>
  <c r="F30" i="2" s="1"/>
  <c r="G30" i="2" s="1"/>
  <c r="H30" i="2" s="1"/>
  <c r="M30" i="2" s="1"/>
  <c r="P30" i="2"/>
  <c r="I29" i="2"/>
  <c r="J29" i="2" s="1"/>
  <c r="K29" i="2" s="1"/>
  <c r="L29" i="2" s="1"/>
  <c r="H29" i="2"/>
  <c r="E29" i="2"/>
  <c r="F29" i="2" s="1"/>
  <c r="G29" i="2" s="1"/>
  <c r="P29" i="2"/>
  <c r="I28" i="2"/>
  <c r="J28" i="2" s="1"/>
  <c r="K28" i="2" s="1"/>
  <c r="L28" i="2" s="1"/>
  <c r="E28" i="2"/>
  <c r="F28" i="2" s="1"/>
  <c r="G28" i="2" s="1"/>
  <c r="H28" i="2" s="1"/>
  <c r="M28" i="2" s="1"/>
  <c r="J27" i="2"/>
  <c r="K27" i="2" s="1"/>
  <c r="L27" i="2" s="1"/>
  <c r="I27" i="2"/>
  <c r="E27" i="2"/>
  <c r="F27" i="2" s="1"/>
  <c r="G27" i="2" s="1"/>
  <c r="H27" i="2" s="1"/>
  <c r="P27" i="2"/>
  <c r="I26" i="2"/>
  <c r="J26" i="2" s="1"/>
  <c r="K26" i="2" s="1"/>
  <c r="L26" i="2" s="1"/>
  <c r="E26" i="2"/>
  <c r="F26" i="2" s="1"/>
  <c r="G26" i="2" s="1"/>
  <c r="H26" i="2" s="1"/>
  <c r="M26" i="2" s="1"/>
  <c r="P26" i="2"/>
  <c r="I25" i="2"/>
  <c r="J25" i="2" s="1"/>
  <c r="K25" i="2" s="1"/>
  <c r="L25" i="2" s="1"/>
  <c r="E25" i="2"/>
  <c r="F25" i="2" s="1"/>
  <c r="G25" i="2" s="1"/>
  <c r="H25" i="2" s="1"/>
  <c r="P25" i="2"/>
  <c r="I24" i="2"/>
  <c r="J24" i="2" s="1"/>
  <c r="K24" i="2" s="1"/>
  <c r="L24" i="2" s="1"/>
  <c r="E24" i="2"/>
  <c r="F24" i="2" s="1"/>
  <c r="G24" i="2" s="1"/>
  <c r="H24" i="2" s="1"/>
  <c r="I23" i="2"/>
  <c r="J23" i="2" s="1"/>
  <c r="K23" i="2" s="1"/>
  <c r="L23" i="2" s="1"/>
  <c r="E23" i="2"/>
  <c r="F23" i="2" s="1"/>
  <c r="G23" i="2" s="1"/>
  <c r="H23" i="2" s="1"/>
  <c r="M23" i="2" s="1"/>
  <c r="P23" i="2"/>
  <c r="P22" i="2"/>
  <c r="I22" i="2"/>
  <c r="J22" i="2" s="1"/>
  <c r="K22" i="2" s="1"/>
  <c r="L22" i="2" s="1"/>
  <c r="E22" i="2"/>
  <c r="F22" i="2" s="1"/>
  <c r="G22" i="2" s="1"/>
  <c r="H22" i="2" s="1"/>
  <c r="M22" i="2" s="1"/>
  <c r="N22" i="2" s="1"/>
  <c r="O22" i="2" s="1"/>
  <c r="Q22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P21" i="2"/>
  <c r="I21" i="2"/>
  <c r="J21" i="2" s="1"/>
  <c r="K21" i="2" s="1"/>
  <c r="L21" i="2" s="1"/>
  <c r="E21" i="2"/>
  <c r="F21" i="2" s="1"/>
  <c r="G21" i="2" s="1"/>
  <c r="H21" i="2" s="1"/>
  <c r="A21" i="2"/>
  <c r="I20" i="2"/>
  <c r="J20" i="2" s="1"/>
  <c r="K20" i="2" s="1"/>
  <c r="L20" i="2" s="1"/>
  <c r="E20" i="2"/>
  <c r="F20" i="2" s="1"/>
  <c r="G20" i="2" s="1"/>
  <c r="H20" i="2" s="1"/>
  <c r="M20" i="2" s="1"/>
  <c r="N20" i="2" s="1"/>
  <c r="O20" i="2" s="1"/>
  <c r="Q20" i="2" s="1"/>
  <c r="P20" i="2"/>
  <c r="B5" i="2"/>
  <c r="P35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0" i="1"/>
  <c r="K34" i="1"/>
  <c r="L34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0" i="1"/>
  <c r="F22" i="1"/>
  <c r="G22" i="1" s="1"/>
  <c r="H22" i="1" s="1"/>
  <c r="E21" i="1"/>
  <c r="F21" i="1" s="1"/>
  <c r="G21" i="1" s="1"/>
  <c r="H21" i="1" s="1"/>
  <c r="E22" i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20" i="1"/>
  <c r="F20" i="1" s="1"/>
  <c r="G20" i="1" s="1"/>
  <c r="H20" i="1" s="1"/>
  <c r="M33" i="3" l="1"/>
  <c r="N33" i="3" s="1"/>
  <c r="O33" i="3" s="1"/>
  <c r="Q33" i="3" s="1"/>
  <c r="M31" i="3"/>
  <c r="M22" i="3"/>
  <c r="M24" i="3"/>
  <c r="M29" i="3"/>
  <c r="M30" i="1"/>
  <c r="N30" i="1" s="1"/>
  <c r="O30" i="1" s="1"/>
  <c r="Q30" i="1" s="1"/>
  <c r="M31" i="1"/>
  <c r="N31" i="1" s="1"/>
  <c r="O31" i="1" s="1"/>
  <c r="Q31" i="1" s="1"/>
  <c r="M22" i="1"/>
  <c r="N22" i="1" s="1"/>
  <c r="O22" i="1" s="1"/>
  <c r="Q22" i="1" s="1"/>
  <c r="M24" i="1"/>
  <c r="N24" i="1" s="1"/>
  <c r="O24" i="1" s="1"/>
  <c r="Q24" i="1" s="1"/>
  <c r="M29" i="1"/>
  <c r="N29" i="1" s="1"/>
  <c r="O29" i="1" s="1"/>
  <c r="Q29" i="1" s="1"/>
  <c r="M28" i="1"/>
  <c r="N28" i="1" s="1"/>
  <c r="O28" i="1" s="1"/>
  <c r="Q28" i="1" s="1"/>
  <c r="R29" i="1" s="1"/>
  <c r="S29" i="1" s="1"/>
  <c r="M20" i="1"/>
  <c r="N20" i="1" s="1"/>
  <c r="O20" i="1" s="1"/>
  <c r="Q20" i="1" s="1"/>
  <c r="M27" i="1"/>
  <c r="N27" i="1" s="1"/>
  <c r="O27" i="1" s="1"/>
  <c r="Q27" i="1" s="1"/>
  <c r="R27" i="1" s="1"/>
  <c r="S27" i="1" s="1"/>
  <c r="M34" i="1"/>
  <c r="N34" i="1" s="1"/>
  <c r="O34" i="1" s="1"/>
  <c r="Q34" i="1" s="1"/>
  <c r="Q35" i="1" s="1"/>
  <c r="M26" i="1"/>
  <c r="N26" i="1" s="1"/>
  <c r="O26" i="1" s="1"/>
  <c r="Q26" i="1" s="1"/>
  <c r="M32" i="1"/>
  <c r="M23" i="1"/>
  <c r="N23" i="1" s="1"/>
  <c r="O23" i="1" s="1"/>
  <c r="Q23" i="1" s="1"/>
  <c r="R23" i="1" s="1"/>
  <c r="S23" i="1" s="1"/>
  <c r="M33" i="1"/>
  <c r="N33" i="1" s="1"/>
  <c r="O33" i="1" s="1"/>
  <c r="Q33" i="1" s="1"/>
  <c r="R34" i="1" s="1"/>
  <c r="S34" i="1" s="1"/>
  <c r="M25" i="1"/>
  <c r="N25" i="1" s="1"/>
  <c r="O25" i="1" s="1"/>
  <c r="Q25" i="1" s="1"/>
  <c r="R26" i="1" s="1"/>
  <c r="S26" i="1" s="1"/>
  <c r="M21" i="1"/>
  <c r="M31" i="2"/>
  <c r="M25" i="2"/>
  <c r="M21" i="3"/>
  <c r="N21" i="3" s="1"/>
  <c r="O21" i="3" s="1"/>
  <c r="Q21" i="3" s="1"/>
  <c r="M25" i="3"/>
  <c r="N25" i="3" s="1"/>
  <c r="O25" i="3" s="1"/>
  <c r="Q25" i="3" s="1"/>
  <c r="M23" i="3"/>
  <c r="N23" i="3" s="1"/>
  <c r="O23" i="3" s="1"/>
  <c r="Q23" i="3" s="1"/>
  <c r="M27" i="3"/>
  <c r="N27" i="3" s="1"/>
  <c r="O27" i="3" s="1"/>
  <c r="Q27" i="3" s="1"/>
  <c r="N24" i="3"/>
  <c r="O24" i="3" s="1"/>
  <c r="Q24" i="3" s="1"/>
  <c r="N26" i="3"/>
  <c r="O26" i="3" s="1"/>
  <c r="Q26" i="3" s="1"/>
  <c r="N28" i="3"/>
  <c r="O28" i="3" s="1"/>
  <c r="Q28" i="3" s="1"/>
  <c r="N29" i="3"/>
  <c r="O29" i="3" s="1"/>
  <c r="Q29" i="3" s="1"/>
  <c r="N30" i="3"/>
  <c r="O30" i="3" s="1"/>
  <c r="Q30" i="3" s="1"/>
  <c r="N31" i="3"/>
  <c r="O31" i="3" s="1"/>
  <c r="Q31" i="3" s="1"/>
  <c r="N32" i="3"/>
  <c r="O32" i="3" s="1"/>
  <c r="Q32" i="3" s="1"/>
  <c r="N21" i="1"/>
  <c r="O21" i="1" s="1"/>
  <c r="Q21" i="1" s="1"/>
  <c r="N25" i="2"/>
  <c r="O25" i="2" s="1"/>
  <c r="Q25" i="2" s="1"/>
  <c r="N26" i="2"/>
  <c r="O26" i="2" s="1"/>
  <c r="Q26" i="2" s="1"/>
  <c r="N28" i="2"/>
  <c r="O28" i="2" s="1"/>
  <c r="Q28" i="2" s="1"/>
  <c r="N30" i="2"/>
  <c r="O30" i="2" s="1"/>
  <c r="Q30" i="2" s="1"/>
  <c r="N31" i="2"/>
  <c r="O31" i="2" s="1"/>
  <c r="Q31" i="2" s="1"/>
  <c r="R32" i="2" s="1"/>
  <c r="S32" i="2" s="1"/>
  <c r="N34" i="2"/>
  <c r="O34" i="2" s="1"/>
  <c r="Q34" i="2" s="1"/>
  <c r="Q35" i="2" s="1"/>
  <c r="N22" i="3"/>
  <c r="O22" i="3" s="1"/>
  <c r="Q22" i="3" s="1"/>
  <c r="N32" i="1"/>
  <c r="O32" i="1" s="1"/>
  <c r="Q32" i="1" s="1"/>
  <c r="R32" i="1" s="1"/>
  <c r="S32" i="1" s="1"/>
  <c r="N23" i="2"/>
  <c r="O23" i="2" s="1"/>
  <c r="Q23" i="2" s="1"/>
  <c r="R23" i="2" s="1"/>
  <c r="S23" i="2" s="1"/>
  <c r="R30" i="1"/>
  <c r="S30" i="1" s="1"/>
  <c r="R31" i="1"/>
  <c r="S31" i="1" s="1"/>
  <c r="M20" i="3"/>
  <c r="N20" i="3" s="1"/>
  <c r="O20" i="3" s="1"/>
  <c r="Q20" i="3" s="1"/>
  <c r="P35" i="3"/>
  <c r="M34" i="3"/>
  <c r="N34" i="3" s="1"/>
  <c r="O34" i="3" s="1"/>
  <c r="Q34" i="3" s="1"/>
  <c r="Q35" i="3" s="1"/>
  <c r="M21" i="2"/>
  <c r="N21" i="2" s="1"/>
  <c r="O21" i="2" s="1"/>
  <c r="Q21" i="2" s="1"/>
  <c r="R22" i="2" s="1"/>
  <c r="S22" i="2" s="1"/>
  <c r="M24" i="2"/>
  <c r="N24" i="2" s="1"/>
  <c r="O24" i="2" s="1"/>
  <c r="Q24" i="2" s="1"/>
  <c r="R24" i="2" s="1"/>
  <c r="S24" i="2" s="1"/>
  <c r="M33" i="2"/>
  <c r="N33" i="2" s="1"/>
  <c r="O33" i="2" s="1"/>
  <c r="Q33" i="2" s="1"/>
  <c r="R34" i="2" s="1"/>
  <c r="S34" i="2" s="1"/>
  <c r="M27" i="2"/>
  <c r="N27" i="2" s="1"/>
  <c r="O27" i="2" s="1"/>
  <c r="Q27" i="2" s="1"/>
  <c r="R27" i="2" s="1"/>
  <c r="S27" i="2" s="1"/>
  <c r="M29" i="2"/>
  <c r="N29" i="2" s="1"/>
  <c r="O29" i="2" s="1"/>
  <c r="Q29" i="2" s="1"/>
  <c r="R30" i="2" s="1"/>
  <c r="S30" i="2" s="1"/>
  <c r="P24" i="2"/>
  <c r="P28" i="2"/>
  <c r="P35" i="2" s="1"/>
  <c r="R27" i="3" l="1"/>
  <c r="S27" i="3" s="1"/>
  <c r="R23" i="3"/>
  <c r="S23" i="3" s="1"/>
  <c r="R33" i="3"/>
  <c r="S33" i="3" s="1"/>
  <c r="R22" i="3"/>
  <c r="S22" i="3" s="1"/>
  <c r="R26" i="3"/>
  <c r="S26" i="3" s="1"/>
  <c r="R29" i="3"/>
  <c r="S29" i="3" s="1"/>
  <c r="R21" i="1"/>
  <c r="S21" i="1" s="1"/>
  <c r="R25" i="1"/>
  <c r="S25" i="1" s="1"/>
  <c r="R24" i="1"/>
  <c r="S24" i="1" s="1"/>
  <c r="R28" i="1"/>
  <c r="S28" i="1" s="1"/>
  <c r="R30" i="3"/>
  <c r="S30" i="3" s="1"/>
  <c r="R25" i="3"/>
  <c r="S25" i="3" s="1"/>
  <c r="R22" i="1"/>
  <c r="S22" i="1" s="1"/>
  <c r="R26" i="2"/>
  <c r="S26" i="2" s="1"/>
  <c r="R32" i="3"/>
  <c r="S32" i="3" s="1"/>
  <c r="R28" i="3"/>
  <c r="S28" i="3" s="1"/>
  <c r="R24" i="3"/>
  <c r="S24" i="3" s="1"/>
  <c r="R28" i="2"/>
  <c r="S28" i="2" s="1"/>
  <c r="R31" i="3"/>
  <c r="S31" i="3" s="1"/>
  <c r="R21" i="3"/>
  <c r="S21" i="3" s="1"/>
  <c r="R33" i="1"/>
  <c r="S33" i="1" s="1"/>
  <c r="R31" i="2"/>
  <c r="S31" i="2" s="1"/>
  <c r="R34" i="3"/>
  <c r="S34" i="3" s="1"/>
  <c r="R33" i="2"/>
  <c r="S33" i="2" s="1"/>
  <c r="R25" i="2"/>
  <c r="S25" i="2" s="1"/>
  <c r="R29" i="2"/>
  <c r="S29" i="2" s="1"/>
  <c r="R21" i="2"/>
  <c r="S21" i="2" s="1"/>
  <c r="S35" i="1" l="1"/>
  <c r="S35" i="2"/>
  <c r="S35" i="3"/>
  <c r="D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<sst xmlns="http://schemas.openxmlformats.org/spreadsheetml/2006/main" count="288" uniqueCount="86">
  <si>
    <t>price of sold electricity: Ei x 0,07 EUR</t>
  </si>
  <si>
    <t>S</t>
  </si>
  <si>
    <t>Daily production in eacd interval: Ri = ( Qi-1 + Qi)/2 * Pi-1</t>
  </si>
  <si>
    <t>R</t>
  </si>
  <si>
    <t>Daily production, if Qd &lt;Qi we operate only a part of the day, otherwose we operate the entire day (theoretically)</t>
  </si>
  <si>
    <t>Q</t>
  </si>
  <si>
    <t>Number of days in operation Pi=Di - Di+1</t>
  </si>
  <si>
    <t>P</t>
  </si>
  <si>
    <r>
      <t>Power: 9,81*Hnet*Q*</t>
    </r>
    <r>
      <rPr>
        <sz val="10"/>
        <rFont val="Calibri"/>
        <family val="2"/>
        <charset val="238"/>
      </rPr>
      <t>Λ</t>
    </r>
    <r>
      <rPr>
        <sz val="10"/>
        <rFont val="Times New Roman"/>
        <family val="1"/>
        <charset val="238"/>
      </rPr>
      <t>H</t>
    </r>
  </si>
  <si>
    <t>O</t>
  </si>
  <si>
    <t>Net head: gross ghead - hydraulic losses</t>
  </si>
  <si>
    <t xml:space="preserve"> </t>
  </si>
  <si>
    <t>N</t>
  </si>
  <si>
    <t>Gross head: mean reservoir level - mean tailwater level</t>
  </si>
  <si>
    <t>M</t>
  </si>
  <si>
    <t>mean level: (min level + max level)/2</t>
  </si>
  <si>
    <t>L</t>
  </si>
  <si>
    <t>The highest elevation of vater in the tailwater reservoir</t>
  </si>
  <si>
    <t>K</t>
  </si>
  <si>
    <t>gross tailwater volume</t>
  </si>
  <si>
    <t>J</t>
  </si>
  <si>
    <t>needed daily volume in the tailwater reservoir (Qbase=40m3/s)</t>
  </si>
  <si>
    <t>I</t>
  </si>
  <si>
    <t>mean level in the reservoir: (max level +lowest level)/2</t>
  </si>
  <si>
    <t>H</t>
  </si>
  <si>
    <t>Elevation of water in thebreservoir after we use the daily volume</t>
  </si>
  <si>
    <t>G</t>
  </si>
  <si>
    <t>Gross reservoir volume - dead strorage</t>
  </si>
  <si>
    <t>F</t>
  </si>
  <si>
    <t>needed daily volume in the reservoir - live storage</t>
  </si>
  <si>
    <t>E</t>
  </si>
  <si>
    <t>Duration of flow in days - Cx3,65</t>
  </si>
  <si>
    <t>D</t>
  </si>
  <si>
    <t xml:space="preserve">duration of flow in % estimated form the flow druration curve (sum in the horizontal) </t>
  </si>
  <si>
    <t>C</t>
  </si>
  <si>
    <t>Flow duration curve - based on hydrological survey (Flow)</t>
  </si>
  <si>
    <t>B</t>
  </si>
  <si>
    <t>Total price of sold electricity    [€]</t>
  </si>
  <si>
    <t>Total production [kWh]</t>
  </si>
  <si>
    <t>Daily production  [kWh]</t>
  </si>
  <si>
    <t>Days of operation</t>
  </si>
  <si>
    <t>Power   [kW]</t>
  </si>
  <si>
    <t>Net head [m]</t>
  </si>
  <si>
    <t>Gross head [m]</t>
  </si>
  <si>
    <t>Mean level [m asl]</t>
  </si>
  <si>
    <t>Highest level [m  asl]</t>
  </si>
  <si>
    <t>Tail volume [1000 m3]</t>
  </si>
  <si>
    <t>Mean level of the reservoir [m asl]</t>
  </si>
  <si>
    <t>Lowest level of the reservoir [m asl]</t>
  </si>
  <si>
    <t>Reservoir volume     [1000 m3]</t>
  </si>
  <si>
    <t>Daily volume    [1000 m3]</t>
  </si>
  <si>
    <t>Days</t>
  </si>
  <si>
    <t>Duration [%]</t>
  </si>
  <si>
    <t>Flow [m3/s]</t>
  </si>
  <si>
    <t>Electricity production</t>
  </si>
  <si>
    <t>Tail raservoir</t>
  </si>
  <si>
    <t>Head reservoir</t>
  </si>
  <si>
    <t>Flow duration curve</t>
  </si>
  <si>
    <t>[1000 m3 ]</t>
  </si>
  <si>
    <t>min volume</t>
  </si>
  <si>
    <t>[m asl]</t>
  </si>
  <si>
    <t>min level</t>
  </si>
  <si>
    <t>Tailwater - Dowstream boundary condition</t>
  </si>
  <si>
    <t>max volume</t>
  </si>
  <si>
    <t>max. Level</t>
  </si>
  <si>
    <t>Reservoir - upper boundary condition</t>
  </si>
  <si>
    <t>[-]</t>
  </si>
  <si>
    <t>μ</t>
  </si>
  <si>
    <t>[m3/s]</t>
  </si>
  <si>
    <t>Qb</t>
  </si>
  <si>
    <t>[€/kWh]</t>
  </si>
  <si>
    <t>Price</t>
  </si>
  <si>
    <t>[m]</t>
  </si>
  <si>
    <t xml:space="preserve">ΔH </t>
  </si>
  <si>
    <t>Input data</t>
  </si>
  <si>
    <t>Equations</t>
  </si>
  <si>
    <t>Reservoir level</t>
  </si>
  <si>
    <t>Eres= 501,8595+0,007054*Vres-9,04456*10^-7*Vres^2+4,84154*10^-11*Vres^3</t>
  </si>
  <si>
    <t>Reservoir volume</t>
  </si>
  <si>
    <t>Vres=5414521,34504851-21286,7185857706*Eres+20,8148557973526*Eres^2+0,00022032983939908*Eres^3</t>
  </si>
  <si>
    <t>[1000 m3]</t>
  </si>
  <si>
    <t>Tailwater Level</t>
  </si>
  <si>
    <t>0,00293595798661*Vi+516,681207587491-Hdam</t>
  </si>
  <si>
    <t>Tailwater volume</t>
  </si>
  <si>
    <t xml:space="preserve"> (340,604329)*(Ezaj+Hdam-73)-151119,74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</si>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</sst>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\ &quot;€&quot;"/>
  </numFmts>
  <fonts count="11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Calibri"/>
      <family val="2"/>
      <charset val="238"/>
    </font>
    <font>
      <b/>
      <sz val="10"/>
      <color indexed="10"/>
      <name val="Times New Roman"/>
      <family val="1"/>
      <charset val="238"/>
    </font>
    <font>
      <b/>
      <sz val="10"/>
      <name val="Times New Roman"/>
      <family val="1"/>
      <charset val="238"/>
    </font>
    <font>
      <sz val="11"/>
      <name val="Times New Roman"/>
      <family val="1"/>
      <charset val="238"/>
    </font>
    <font>
      <b/>
      <sz val="10"/>
      <color theme="0"/>
      <name val="Times New Roman"/>
      <family val="1"/>
      <charset val="238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1" fontId="4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6" fillId="0" borderId="1" xfId="0" applyFont="1" applyFill="1" applyBorder="1" applyAlignment="1">
      <alignment horizontal="center" wrapText="1"/>
    </xf>
    <xf numFmtId="0" fontId="0" fillId="0" borderId="1" xfId="0" applyBorder="1" applyAlignme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" fontId="2" fillId="0" borderId="0" xfId="1" applyNumberFormat="1" applyFont="1" applyAlignment="1">
      <alignment horizontal="left"/>
    </xf>
    <xf numFmtId="2" fontId="2" fillId="0" borderId="0" xfId="1" applyNumberFormat="1" applyFont="1" applyAlignment="1">
      <alignment horizontal="left"/>
    </xf>
    <xf numFmtId="1" fontId="2" fillId="0" borderId="0" xfId="1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1" fontId="2" fillId="5" borderId="9" xfId="0" applyNumberFormat="1" applyFont="1" applyFill="1" applyBorder="1" applyAlignment="1">
      <alignment horizontal="center" vertical="center" wrapText="1"/>
    </xf>
    <xf numFmtId="1" fontId="2" fillId="5" borderId="8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" fontId="2" fillId="5" borderId="18" xfId="0" applyNumberFormat="1" applyFont="1" applyFill="1" applyBorder="1" applyAlignment="1">
      <alignment horizontal="center" vertical="center" wrapText="1"/>
    </xf>
    <xf numFmtId="1" fontId="2" fillId="5" borderId="19" xfId="0" applyNumberFormat="1" applyFont="1" applyFill="1" applyBorder="1" applyAlignment="1">
      <alignment horizontal="center" vertical="center" wrapText="1"/>
    </xf>
    <xf numFmtId="164" fontId="2" fillId="5" borderId="19" xfId="0" applyNumberFormat="1" applyFont="1" applyFill="1" applyBorder="1" applyAlignment="1">
      <alignment horizontal="center" vertical="center" wrapText="1"/>
    </xf>
    <xf numFmtId="164" fontId="2" fillId="5" borderId="20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" fontId="2" fillId="5" borderId="13" xfId="0" applyNumberFormat="1" applyFont="1" applyFill="1" applyBorder="1" applyAlignment="1">
      <alignment horizontal="center" vertical="center" wrapText="1"/>
    </xf>
    <xf numFmtId="2" fontId="2" fillId="5" borderId="13" xfId="0" applyNumberFormat="1" applyFont="1" applyFill="1" applyBorder="1" applyAlignment="1">
      <alignment horizontal="center" vertical="center" wrapText="1"/>
    </xf>
    <xf numFmtId="1" fontId="2" fillId="5" borderId="12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65" fontId="10" fillId="7" borderId="0" xfId="0" applyNumberFormat="1" applyFont="1" applyFill="1"/>
    <xf numFmtId="0" fontId="0" fillId="0" borderId="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2" fontId="2" fillId="5" borderId="8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2" fontId="2" fillId="8" borderId="5" xfId="0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2" fontId="2" fillId="8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" fontId="7" fillId="4" borderId="14" xfId="0" applyNumberFormat="1" applyFont="1" applyFill="1" applyBorder="1" applyAlignment="1">
      <alignment horizontal="center" vertical="center"/>
    </xf>
    <xf numFmtId="1" fontId="7" fillId="4" borderId="13" xfId="0" applyNumberFormat="1" applyFont="1" applyFill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164" fontId="7" fillId="4" borderId="14" xfId="0" applyNumberFormat="1" applyFont="1" applyFill="1" applyBorder="1" applyAlignment="1">
      <alignment horizontal="center" vertical="center"/>
    </xf>
    <xf numFmtId="164" fontId="7" fillId="4" borderId="13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\OneDrive\Bureau\HydroElectric%20Power\Optimisation%20Diam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stock Losses-4m"/>
      <sheetName val="Penstock Losses-4,16m"/>
      <sheetName val="Pressure Tunnel Losses-4m"/>
      <sheetName val="Pressure Tunnel Losses-4,5m"/>
      <sheetName val="Pressure Tunnel Losses-4,7m"/>
      <sheetName val="Pressure Tunnel Losses-5m"/>
      <sheetName val="Pressure Tunnel Losses-5,5m"/>
      <sheetName val="Pressure Tunnel Losses-6m"/>
      <sheetName val="Penstock Losses-4,5m"/>
      <sheetName val="Penstock Losses-5m"/>
      <sheetName val="Penstock Losses-5,5m"/>
      <sheetName val="Penstock Losses-Opti"/>
      <sheetName val="Pressure Tunnel Losses-Opti"/>
      <sheetName val="Optimis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3">
          <cell r="B53">
            <v>1.8795493659057705</v>
          </cell>
        </row>
      </sheetData>
      <sheetData sheetId="12">
        <row r="80">
          <cell r="B80">
            <v>2.4953241924896674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topLeftCell="A10" zoomScale="85" zoomScaleNormal="85" workbookViewId="0">
      <selection activeCell="R36" sqref="R36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2.44140625" style="4" bestFit="1" customWidth="1"/>
    <col min="8" max="8" width="9.6640625" style="4" customWidth="1"/>
    <col min="9" max="9" width="13.6640625" style="4" customWidth="1"/>
    <col min="10" max="10" width="13.44140625" style="4" customWidth="1"/>
    <col min="11" max="11" width="9.109375" style="4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97" t="s">
        <v>75</v>
      </c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17" ht="27.6" x14ac:dyDescent="0.25">
      <c r="A3" s="24" t="s">
        <v>5</v>
      </c>
      <c r="B3" s="29">
        <v>71</v>
      </c>
      <c r="C3" s="24" t="s">
        <v>68</v>
      </c>
      <c r="G3" s="15" t="s">
        <v>76</v>
      </c>
      <c r="H3" s="98" t="s">
        <v>77</v>
      </c>
      <c r="I3" s="98"/>
      <c r="J3" s="98"/>
      <c r="K3" s="98"/>
      <c r="L3" s="98"/>
      <c r="M3" s="98"/>
      <c r="N3" s="98"/>
      <c r="O3" s="98"/>
      <c r="P3" s="98"/>
      <c r="Q3" s="16" t="s">
        <v>60</v>
      </c>
    </row>
    <row r="4" spans="1:17" ht="27.6" x14ac:dyDescent="0.25">
      <c r="A4" s="24" t="s">
        <v>24</v>
      </c>
      <c r="B4" s="29">
        <v>71</v>
      </c>
      <c r="C4" s="24" t="s">
        <v>72</v>
      </c>
      <c r="G4" s="15" t="s">
        <v>78</v>
      </c>
      <c r="H4" s="98" t="s">
        <v>79</v>
      </c>
      <c r="I4" s="98"/>
      <c r="J4" s="98"/>
      <c r="K4" s="98"/>
      <c r="L4" s="98"/>
      <c r="M4" s="98"/>
      <c r="N4" s="98"/>
      <c r="O4" s="98"/>
      <c r="P4" s="98"/>
      <c r="Q4" s="16" t="s">
        <v>80</v>
      </c>
    </row>
    <row r="5" spans="1:17" x14ac:dyDescent="0.25">
      <c r="A5" s="24" t="s">
        <v>73</v>
      </c>
      <c r="B5" s="31">
        <v>10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99" t="s">
        <v>82</v>
      </c>
      <c r="I6" s="99"/>
      <c r="J6" s="99"/>
      <c r="K6" s="99"/>
      <c r="L6" s="99"/>
      <c r="M6" s="99"/>
      <c r="N6" s="99"/>
      <c r="O6" s="99"/>
      <c r="P6" s="99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100" t="s">
        <v>84</v>
      </c>
      <c r="I7" s="100"/>
      <c r="J7" s="100"/>
      <c r="K7" s="100"/>
      <c r="L7" s="100"/>
      <c r="M7" s="100"/>
      <c r="N7" s="100"/>
      <c r="O7" s="100"/>
      <c r="P7" s="100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6" t="s">
        <v>65</v>
      </c>
      <c r="B10" s="96"/>
      <c r="C10" s="96"/>
      <c r="D10" s="14"/>
    </row>
    <row r="11" spans="1:17" x14ac:dyDescent="0.25">
      <c r="A11" s="24" t="s">
        <v>64</v>
      </c>
      <c r="B11" s="32">
        <v>524.75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6" t="s">
        <v>62</v>
      </c>
      <c r="B14" s="96"/>
      <c r="C14" s="96"/>
    </row>
    <row r="15" spans="1:17" x14ac:dyDescent="0.25">
      <c r="A15" s="24" t="s">
        <v>61</v>
      </c>
      <c r="B15" s="77">
        <v>453.25</v>
      </c>
      <c r="C15" s="24" t="s">
        <v>60</v>
      </c>
    </row>
    <row r="16" spans="1:17" x14ac:dyDescent="0.25">
      <c r="A16" s="24" t="s">
        <v>59</v>
      </c>
      <c r="B16" s="77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87" t="s">
        <v>57</v>
      </c>
      <c r="B18" s="88"/>
      <c r="C18" s="88"/>
      <c r="D18" s="89"/>
      <c r="E18" s="90" t="s">
        <v>56</v>
      </c>
      <c r="F18" s="91"/>
      <c r="G18" s="91"/>
      <c r="H18" s="92"/>
      <c r="I18" s="93" t="s">
        <v>55</v>
      </c>
      <c r="J18" s="94"/>
      <c r="K18" s="94"/>
      <c r="L18" s="95"/>
      <c r="M18" s="87" t="s">
        <v>54</v>
      </c>
      <c r="N18" s="88"/>
      <c r="O18" s="88"/>
      <c r="P18" s="88"/>
      <c r="Q18" s="88"/>
      <c r="R18" s="88"/>
      <c r="S18" s="89"/>
    </row>
    <row r="19" spans="1:22" ht="53.4" thickBot="1" x14ac:dyDescent="0.3">
      <c r="A19" s="38"/>
      <c r="B19" s="39" t="s">
        <v>53</v>
      </c>
      <c r="C19" s="39" t="s">
        <v>52</v>
      </c>
      <c r="D19" s="40" t="s">
        <v>51</v>
      </c>
      <c r="E19" s="46" t="s">
        <v>50</v>
      </c>
      <c r="F19" s="47" t="s">
        <v>49</v>
      </c>
      <c r="G19" s="48" t="s">
        <v>48</v>
      </c>
      <c r="H19" s="49" t="s">
        <v>47</v>
      </c>
      <c r="I19" s="46" t="s">
        <v>50</v>
      </c>
      <c r="J19" s="48" t="s">
        <v>46</v>
      </c>
      <c r="K19" s="48" t="s">
        <v>45</v>
      </c>
      <c r="L19" s="49" t="s">
        <v>44</v>
      </c>
      <c r="M19" s="68" t="s">
        <v>43</v>
      </c>
      <c r="N19" s="69" t="s">
        <v>42</v>
      </c>
      <c r="O19" s="70" t="s">
        <v>41</v>
      </c>
      <c r="P19" s="71" t="s">
        <v>40</v>
      </c>
      <c r="Q19" s="72" t="s">
        <v>39</v>
      </c>
      <c r="R19" s="41" t="s">
        <v>38</v>
      </c>
      <c r="S19" s="42" t="s">
        <v>37</v>
      </c>
    </row>
    <row r="20" spans="1:22" x14ac:dyDescent="0.25">
      <c r="A20" s="44">
        <v>1</v>
      </c>
      <c r="B20" s="11">
        <v>1.6</v>
      </c>
      <c r="C20" s="11">
        <v>100</v>
      </c>
      <c r="D20" s="33">
        <f t="shared" ref="D20:D34" si="0">C20*3.65</f>
        <v>365</v>
      </c>
      <c r="E20" s="50">
        <f>IF(B20&lt;B$3,($B$3-B20)*B20/$B$3*24*3.6,0)</f>
        <v>135.12473239436622</v>
      </c>
      <c r="F20" s="51">
        <f>$B$12-E20</f>
        <v>7649.8752676056338</v>
      </c>
      <c r="G20" s="52">
        <f>501.8595+0.007054*F20-9.04456*10^-7*F20^2+4.84154*10^-11*F20^3</f>
        <v>524.56679508890761</v>
      </c>
      <c r="H20" s="53">
        <f>(G20+$B$11)/2</f>
        <v>524.65839754445381</v>
      </c>
      <c r="I20" s="50">
        <f>IF(B20&lt;$B$7,($B$7-B20)*B20/$B$7*24*3.6,0)</f>
        <v>132.71040000000002</v>
      </c>
      <c r="J20" s="51">
        <f>$B$16+I20</f>
        <v>1688.7103999999999</v>
      </c>
      <c r="K20" s="52">
        <f>0.00293595798661*J20+516.681207587491-$B$4</f>
        <v>450.63919037344237</v>
      </c>
      <c r="L20" s="53">
        <f>(K20+$B$15)/2</f>
        <v>451.94459518672119</v>
      </c>
      <c r="M20" s="62">
        <f>H20-L20</f>
        <v>72.713802357732618</v>
      </c>
      <c r="N20" s="52">
        <f>M20-$B$5</f>
        <v>62.713802357732618</v>
      </c>
      <c r="O20" s="63">
        <f>9.81*N20*$B$3*$B$8</f>
        <v>37783.88376535946</v>
      </c>
      <c r="P20" s="52">
        <f>D20-D21</f>
        <v>9.125</v>
      </c>
      <c r="Q20" s="64">
        <f>IF(B20&lt;$B$3,O20*B20/$B$3*24,O20*24)</f>
        <v>20435.227275912723</v>
      </c>
      <c r="S20" s="76"/>
    </row>
    <row r="21" spans="1:22" x14ac:dyDescent="0.25">
      <c r="A21" s="44">
        <f t="shared" ref="A21:A34" si="1">A20+1</f>
        <v>2</v>
      </c>
      <c r="B21" s="11">
        <v>3.6</v>
      </c>
      <c r="C21" s="11">
        <v>97.5</v>
      </c>
      <c r="D21" s="33">
        <f t="shared" si="0"/>
        <v>355.875</v>
      </c>
      <c r="E21" s="36">
        <f t="shared" ref="E21:E34" si="2">IF(B21&lt;B$3,($B$3-B21)*B21/$B$3*24*3.6,0)</f>
        <v>295.26895774647892</v>
      </c>
      <c r="F21" s="37">
        <f t="shared" ref="F21:F34" si="3">$B$12-E21</f>
        <v>7489.7310422535211</v>
      </c>
      <c r="G21" s="30">
        <f t="shared" ref="G21:G34" si="4">501.8595+0.007054*F21-9.04456*10^-7*F21^2+4.84154*10^-11*F21^3</f>
        <v>524.29709799947273</v>
      </c>
      <c r="H21" s="43">
        <f t="shared" ref="H21:H34" si="5">(G21+$B$11)/2</f>
        <v>524.52354899973636</v>
      </c>
      <c r="I21" s="36">
        <f t="shared" ref="I21:I34" si="6">IF(B21&lt;$B$7,($B$7-B21)*B21/$B$7*24*3.6,0)</f>
        <v>283.04640000000001</v>
      </c>
      <c r="J21" s="37">
        <f t="shared" ref="J21:J34" si="7">$B$16+I21</f>
        <v>1839.0463999999999</v>
      </c>
      <c r="K21" s="30">
        <f t="shared" ref="K21:K33" si="8">0.00293595798661*J21+516.681207587491-$B$4</f>
        <v>451.08057055331744</v>
      </c>
      <c r="L21" s="43">
        <f t="shared" ref="L21:L34" si="9">(K21+$B$15)/2</f>
        <v>452.16528527665872</v>
      </c>
      <c r="M21" s="35">
        <f t="shared" ref="M21:M34" si="10">H21-L21</f>
        <v>72.358263723077641</v>
      </c>
      <c r="N21" s="30">
        <f t="shared" ref="N21:N34" si="11">M21-$B$5</f>
        <v>62.358263723077641</v>
      </c>
      <c r="O21" s="58">
        <f t="shared" ref="O21:O34" si="12">9.81*N21*$B$3*$B$8</f>
        <v>37569.678439883101</v>
      </c>
      <c r="P21" s="30">
        <f t="shared" ref="P21:P34" si="13">D21-D22</f>
        <v>9.125</v>
      </c>
      <c r="Q21" s="60">
        <f t="shared" ref="Q21:Q34" si="14">IF(B21&lt;$B$3,O21*B21/$B$3*24,O21*24)</f>
        <v>45718.594608533807</v>
      </c>
      <c r="R21" s="73">
        <f>(Q20+Q21)/2*P20</f>
        <v>301826.81234778732</v>
      </c>
      <c r="S21" s="74">
        <f>R21*$B$6</f>
        <v>21127.876864345115</v>
      </c>
      <c r="T21" s="3"/>
      <c r="U21" s="3"/>
      <c r="V21" s="3"/>
    </row>
    <row r="22" spans="1:22" x14ac:dyDescent="0.25">
      <c r="A22" s="44">
        <f t="shared" si="1"/>
        <v>3</v>
      </c>
      <c r="B22" s="11">
        <v>4.5</v>
      </c>
      <c r="C22" s="11">
        <v>95</v>
      </c>
      <c r="D22" s="33">
        <f t="shared" si="0"/>
        <v>346.75</v>
      </c>
      <c r="E22" s="36">
        <f t="shared" si="2"/>
        <v>364.15774647887321</v>
      </c>
      <c r="F22" s="37">
        <f t="shared" si="3"/>
        <v>7420.8422535211266</v>
      </c>
      <c r="G22" s="30">
        <f t="shared" si="4"/>
        <v>524.18404650746902</v>
      </c>
      <c r="H22" s="43">
        <f t="shared" si="5"/>
        <v>524.46702325373451</v>
      </c>
      <c r="I22" s="36">
        <f t="shared" si="6"/>
        <v>345.06</v>
      </c>
      <c r="J22" s="37">
        <f t="shared" si="7"/>
        <v>1901.06</v>
      </c>
      <c r="K22" s="30">
        <f t="shared" si="8"/>
        <v>451.26263987751588</v>
      </c>
      <c r="L22" s="43">
        <f t="shared" si="9"/>
        <v>452.25631993875794</v>
      </c>
      <c r="M22" s="35">
        <f t="shared" si="10"/>
        <v>72.21070331497657</v>
      </c>
      <c r="N22" s="30">
        <f t="shared" si="11"/>
        <v>62.21070331497657</v>
      </c>
      <c r="O22" s="58">
        <f t="shared" si="12"/>
        <v>37480.776075515903</v>
      </c>
      <c r="P22" s="30">
        <f t="shared" si="13"/>
        <v>18.25</v>
      </c>
      <c r="Q22" s="60">
        <f t="shared" si="14"/>
        <v>57013.011495150953</v>
      </c>
      <c r="R22" s="73">
        <f t="shared" ref="R22:R34" si="15">(Q21+Q22)/2*P21</f>
        <v>468712.95284806169</v>
      </c>
      <c r="S22" s="74">
        <f t="shared" ref="S22:S34" si="16">R22*$B$6</f>
        <v>32809.906699364321</v>
      </c>
      <c r="T22" s="3"/>
      <c r="U22" s="3"/>
      <c r="V22" s="3"/>
    </row>
    <row r="23" spans="1:22" x14ac:dyDescent="0.25">
      <c r="A23" s="44">
        <f t="shared" si="1"/>
        <v>4</v>
      </c>
      <c r="B23" s="11">
        <v>5.8</v>
      </c>
      <c r="C23" s="11">
        <v>90</v>
      </c>
      <c r="D23" s="33">
        <f t="shared" si="0"/>
        <v>328.5</v>
      </c>
      <c r="E23" s="36">
        <f t="shared" si="2"/>
        <v>460.18343661971835</v>
      </c>
      <c r="F23" s="37">
        <f t="shared" si="3"/>
        <v>7324.8165633802819</v>
      </c>
      <c r="G23" s="30">
        <f t="shared" si="4"/>
        <v>524.02918644698548</v>
      </c>
      <c r="H23" s="43">
        <f t="shared" si="5"/>
        <v>524.38959322349274</v>
      </c>
      <c r="I23" s="36">
        <f t="shared" si="6"/>
        <v>428.45760000000007</v>
      </c>
      <c r="J23" s="37">
        <f t="shared" si="7"/>
        <v>1984.4576000000002</v>
      </c>
      <c r="K23" s="30">
        <f t="shared" si="8"/>
        <v>451.50749172729991</v>
      </c>
      <c r="L23" s="43">
        <f t="shared" si="9"/>
        <v>452.37874586364995</v>
      </c>
      <c r="M23" s="35">
        <f t="shared" si="10"/>
        <v>72.010847359842785</v>
      </c>
      <c r="N23" s="30">
        <f t="shared" si="11"/>
        <v>62.010847359842785</v>
      </c>
      <c r="O23" s="58">
        <f t="shared" si="12"/>
        <v>37360.366629832548</v>
      </c>
      <c r="P23" s="30">
        <f t="shared" si="13"/>
        <v>54.75</v>
      </c>
      <c r="Q23" s="60">
        <f t="shared" si="14"/>
        <v>73247.366688347742</v>
      </c>
      <c r="R23" s="73">
        <f t="shared" si="15"/>
        <v>1188625.9509244256</v>
      </c>
      <c r="S23" s="74">
        <f t="shared" si="16"/>
        <v>83203.816564709807</v>
      </c>
      <c r="T23" s="3"/>
      <c r="U23" s="3"/>
      <c r="V23" s="3"/>
    </row>
    <row r="24" spans="1:22" x14ac:dyDescent="0.25">
      <c r="A24" s="44">
        <f t="shared" si="1"/>
        <v>5</v>
      </c>
      <c r="B24" s="11">
        <v>7.7</v>
      </c>
      <c r="C24" s="11">
        <v>75</v>
      </c>
      <c r="D24" s="33">
        <f t="shared" si="0"/>
        <v>273.75</v>
      </c>
      <c r="E24" s="36">
        <f t="shared" si="2"/>
        <v>593.12991549295771</v>
      </c>
      <c r="F24" s="37">
        <f t="shared" si="3"/>
        <v>7191.8700845070425</v>
      </c>
      <c r="G24" s="30">
        <f t="shared" si="4"/>
        <v>523.81958373093858</v>
      </c>
      <c r="H24" s="43">
        <f t="shared" si="5"/>
        <v>524.28479186546929</v>
      </c>
      <c r="I24" s="36">
        <f t="shared" si="6"/>
        <v>537.21360000000004</v>
      </c>
      <c r="J24" s="37">
        <f t="shared" si="7"/>
        <v>2093.2136</v>
      </c>
      <c r="K24" s="30">
        <f t="shared" si="8"/>
        <v>451.8267947740917</v>
      </c>
      <c r="L24" s="43">
        <f t="shared" si="9"/>
        <v>452.53839738704585</v>
      </c>
      <c r="M24" s="35">
        <f t="shared" si="10"/>
        <v>71.74639447842344</v>
      </c>
      <c r="N24" s="30">
        <f t="shared" si="11"/>
        <v>61.74639447842344</v>
      </c>
      <c r="O24" s="58">
        <f t="shared" si="12"/>
        <v>37201.038753714201</v>
      </c>
      <c r="P24" s="30">
        <f t="shared" si="13"/>
        <v>45.625</v>
      </c>
      <c r="Q24" s="60">
        <f t="shared" si="14"/>
        <v>96827.492418118098</v>
      </c>
      <c r="R24" s="73">
        <f t="shared" si="15"/>
        <v>4655799.2680395022</v>
      </c>
      <c r="S24" s="74">
        <f t="shared" si="16"/>
        <v>325905.94876276521</v>
      </c>
      <c r="T24" s="3"/>
      <c r="U24" s="3"/>
      <c r="V24" s="3"/>
    </row>
    <row r="25" spans="1:22" x14ac:dyDescent="0.25">
      <c r="A25" s="44">
        <f t="shared" si="1"/>
        <v>6</v>
      </c>
      <c r="B25" s="11">
        <v>9.4</v>
      </c>
      <c r="C25" s="11">
        <v>62.5</v>
      </c>
      <c r="D25" s="33">
        <f t="shared" si="0"/>
        <v>228.125</v>
      </c>
      <c r="E25" s="36">
        <f t="shared" si="2"/>
        <v>704.63459154929581</v>
      </c>
      <c r="F25" s="37">
        <f t="shared" si="3"/>
        <v>7080.3654084507043</v>
      </c>
      <c r="G25" s="30">
        <f t="shared" si="4"/>
        <v>523.64763408836529</v>
      </c>
      <c r="H25" s="43">
        <f t="shared" si="5"/>
        <v>524.19881704418265</v>
      </c>
      <c r="I25" s="36">
        <f t="shared" si="6"/>
        <v>621.30240000000003</v>
      </c>
      <c r="J25" s="37">
        <f t="shared" si="7"/>
        <v>2177.3024</v>
      </c>
      <c r="K25" s="30">
        <f t="shared" si="8"/>
        <v>452.07367595803612</v>
      </c>
      <c r="L25" s="43">
        <f t="shared" si="9"/>
        <v>452.66183797901806</v>
      </c>
      <c r="M25" s="35">
        <f t="shared" si="10"/>
        <v>71.536979065164587</v>
      </c>
      <c r="N25" s="30">
        <f t="shared" si="11"/>
        <v>61.536979065164587</v>
      </c>
      <c r="O25" s="58">
        <f t="shared" si="12"/>
        <v>37074.869914706287</v>
      </c>
      <c r="P25" s="30">
        <f t="shared" si="13"/>
        <v>45.625</v>
      </c>
      <c r="Q25" s="60">
        <f t="shared" si="14"/>
        <v>117804.09370081322</v>
      </c>
      <c r="R25" s="73">
        <f t="shared" si="15"/>
        <v>4896283.0583381206</v>
      </c>
      <c r="S25" s="74">
        <f t="shared" si="16"/>
        <v>342739.81408366846</v>
      </c>
      <c r="T25" s="3"/>
      <c r="U25" s="3"/>
      <c r="V25" s="3"/>
    </row>
    <row r="26" spans="1:22" x14ac:dyDescent="0.25">
      <c r="A26" s="44">
        <f t="shared" si="1"/>
        <v>7</v>
      </c>
      <c r="B26" s="11">
        <v>11.4</v>
      </c>
      <c r="C26" s="11">
        <v>50</v>
      </c>
      <c r="D26" s="33">
        <f t="shared" si="0"/>
        <v>182.5</v>
      </c>
      <c r="E26" s="36">
        <f t="shared" si="2"/>
        <v>826.81149295774651</v>
      </c>
      <c r="F26" s="37">
        <f t="shared" si="3"/>
        <v>6958.1885070422531</v>
      </c>
      <c r="G26" s="30">
        <f t="shared" si="4"/>
        <v>523.46275077222299</v>
      </c>
      <c r="H26" s="43">
        <f t="shared" si="5"/>
        <v>524.10637538611149</v>
      </c>
      <c r="I26" s="36">
        <f t="shared" si="6"/>
        <v>704.24639999999999</v>
      </c>
      <c r="J26" s="37">
        <f t="shared" si="7"/>
        <v>2260.2464</v>
      </c>
      <c r="K26" s="30">
        <f t="shared" si="8"/>
        <v>452.31719605727756</v>
      </c>
      <c r="L26" s="43">
        <f t="shared" si="9"/>
        <v>452.78359802863878</v>
      </c>
      <c r="M26" s="35">
        <f t="shared" si="10"/>
        <v>71.322777357472717</v>
      </c>
      <c r="N26" s="30">
        <f t="shared" si="11"/>
        <v>61.322777357472717</v>
      </c>
      <c r="O26" s="58">
        <f t="shared" si="12"/>
        <v>36945.817423524124</v>
      </c>
      <c r="P26" s="30">
        <f t="shared" si="13"/>
        <v>45.625</v>
      </c>
      <c r="Q26" s="60">
        <f t="shared" si="14"/>
        <v>142371.48798698874</v>
      </c>
      <c r="R26" s="73">
        <f t="shared" si="15"/>
        <v>5935255.4572529821</v>
      </c>
      <c r="S26" s="74">
        <f t="shared" si="16"/>
        <v>415467.88200770877</v>
      </c>
      <c r="T26" s="3"/>
      <c r="U26" s="3"/>
      <c r="V26" s="3"/>
    </row>
    <row r="27" spans="1:22" x14ac:dyDescent="0.25">
      <c r="A27" s="44">
        <f t="shared" si="1"/>
        <v>8</v>
      </c>
      <c r="B27" s="11">
        <v>13.9</v>
      </c>
      <c r="C27" s="11">
        <v>37.5</v>
      </c>
      <c r="D27" s="33">
        <f t="shared" si="0"/>
        <v>136.875</v>
      </c>
      <c r="E27" s="36">
        <f t="shared" si="2"/>
        <v>965.84247887323954</v>
      </c>
      <c r="F27" s="37">
        <f t="shared" si="3"/>
        <v>6819.1575211267609</v>
      </c>
      <c r="G27" s="30">
        <f t="shared" si="4"/>
        <v>523.25619005655039</v>
      </c>
      <c r="H27" s="43">
        <f t="shared" si="5"/>
        <v>524.0030950282752</v>
      </c>
      <c r="I27" s="36">
        <f t="shared" si="6"/>
        <v>783.6264000000001</v>
      </c>
      <c r="J27" s="37">
        <f t="shared" si="7"/>
        <v>2339.6264000000001</v>
      </c>
      <c r="K27" s="30">
        <f t="shared" si="8"/>
        <v>452.55025240225461</v>
      </c>
      <c r="L27" s="43">
        <f t="shared" si="9"/>
        <v>452.90012620112731</v>
      </c>
      <c r="M27" s="35">
        <f t="shared" si="10"/>
        <v>71.10296882714789</v>
      </c>
      <c r="N27" s="30">
        <f t="shared" si="11"/>
        <v>61.10296882714789</v>
      </c>
      <c r="O27" s="58">
        <f t="shared" si="12"/>
        <v>36813.386927394211</v>
      </c>
      <c r="P27" s="30">
        <f t="shared" si="13"/>
        <v>45.625</v>
      </c>
      <c r="Q27" s="60">
        <f t="shared" si="14"/>
        <v>172971.06871800998</v>
      </c>
      <c r="R27" s="73">
        <f t="shared" si="15"/>
        <v>7193752.0748327831</v>
      </c>
      <c r="S27" s="74">
        <f t="shared" si="16"/>
        <v>503562.64523829485</v>
      </c>
      <c r="T27" s="3"/>
      <c r="U27" s="3"/>
      <c r="V27" s="3"/>
    </row>
    <row r="28" spans="1:22" x14ac:dyDescent="0.25">
      <c r="A28" s="44">
        <f t="shared" si="1"/>
        <v>9</v>
      </c>
      <c r="B28" s="11">
        <v>17</v>
      </c>
      <c r="C28" s="11">
        <v>25</v>
      </c>
      <c r="D28" s="33">
        <f t="shared" si="0"/>
        <v>91.25</v>
      </c>
      <c r="E28" s="36">
        <f t="shared" si="2"/>
        <v>1117.1154929577465</v>
      </c>
      <c r="F28" s="37">
        <f t="shared" si="3"/>
        <v>6667.884507042254</v>
      </c>
      <c r="G28" s="30">
        <f t="shared" si="4"/>
        <v>523.0351918567834</v>
      </c>
      <c r="H28" s="43">
        <f t="shared" si="5"/>
        <v>523.89259592839176</v>
      </c>
      <c r="I28" s="36">
        <f t="shared" si="6"/>
        <v>844.56000000000006</v>
      </c>
      <c r="J28" s="37">
        <f t="shared" si="7"/>
        <v>2400.56</v>
      </c>
      <c r="K28" s="30">
        <f t="shared" si="8"/>
        <v>452.72915089182754</v>
      </c>
      <c r="L28" s="43">
        <f t="shared" si="9"/>
        <v>452.98957544591377</v>
      </c>
      <c r="M28" s="35">
        <f t="shared" si="10"/>
        <v>70.903020482477984</v>
      </c>
      <c r="N28" s="30">
        <f t="shared" si="11"/>
        <v>60.903020482477984</v>
      </c>
      <c r="O28" s="58">
        <f t="shared" si="12"/>
        <v>36692.921818756891</v>
      </c>
      <c r="P28" s="30">
        <f t="shared" si="13"/>
        <v>27.375</v>
      </c>
      <c r="Q28" s="60">
        <f t="shared" si="14"/>
        <v>210855.10002891283</v>
      </c>
      <c r="R28" s="73">
        <f t="shared" si="15"/>
        <v>8756034.4745391756</v>
      </c>
      <c r="S28" s="74">
        <f t="shared" si="16"/>
        <v>612922.41321774235</v>
      </c>
      <c r="T28" s="3"/>
      <c r="U28" s="3"/>
      <c r="V28" s="3"/>
    </row>
    <row r="29" spans="1:22" x14ac:dyDescent="0.25">
      <c r="A29" s="44">
        <f t="shared" si="1"/>
        <v>10</v>
      </c>
      <c r="B29" s="11">
        <v>19.5</v>
      </c>
      <c r="C29" s="11">
        <v>17.5</v>
      </c>
      <c r="D29" s="33">
        <f t="shared" si="0"/>
        <v>63.875</v>
      </c>
      <c r="E29" s="36">
        <f t="shared" si="2"/>
        <v>1222.0732394366198</v>
      </c>
      <c r="F29" s="37">
        <f t="shared" si="3"/>
        <v>6562.9267605633804</v>
      </c>
      <c r="G29" s="30">
        <f t="shared" si="4"/>
        <v>522.88363894850352</v>
      </c>
      <c r="H29" s="43">
        <f t="shared" si="5"/>
        <v>523.81681947425182</v>
      </c>
      <c r="I29" s="36">
        <f t="shared" si="6"/>
        <v>863.46000000000015</v>
      </c>
      <c r="J29" s="37">
        <f t="shared" si="7"/>
        <v>2419.46</v>
      </c>
      <c r="K29" s="30">
        <f t="shared" si="8"/>
        <v>452.78464049777449</v>
      </c>
      <c r="L29" s="43">
        <f t="shared" si="9"/>
        <v>453.01732024888724</v>
      </c>
      <c r="M29" s="35">
        <f t="shared" si="10"/>
        <v>70.799499225364571</v>
      </c>
      <c r="N29" s="30">
        <f t="shared" si="11"/>
        <v>60.799499225364571</v>
      </c>
      <c r="O29" s="58">
        <f t="shared" si="12"/>
        <v>36630.552212721763</v>
      </c>
      <c r="P29" s="30">
        <f t="shared" si="13"/>
        <v>27.375</v>
      </c>
      <c r="Q29" s="60">
        <f t="shared" si="14"/>
        <v>241452.09064160258</v>
      </c>
      <c r="R29" s="73">
        <f t="shared" si="15"/>
        <v>6190954.6723026801</v>
      </c>
      <c r="S29" s="74">
        <f t="shared" si="16"/>
        <v>433366.82706118765</v>
      </c>
      <c r="T29" s="3"/>
      <c r="U29" s="3"/>
      <c r="V29" s="3"/>
    </row>
    <row r="30" spans="1:22" x14ac:dyDescent="0.25">
      <c r="A30" s="44">
        <f t="shared" si="1"/>
        <v>11</v>
      </c>
      <c r="B30" s="11">
        <v>23.8</v>
      </c>
      <c r="C30" s="11">
        <v>10</v>
      </c>
      <c r="D30" s="33">
        <f t="shared" si="0"/>
        <v>36.5</v>
      </c>
      <c r="E30" s="36">
        <f t="shared" si="2"/>
        <v>1367.0183661971835</v>
      </c>
      <c r="F30" s="37">
        <f t="shared" si="3"/>
        <v>6417.9816338028168</v>
      </c>
      <c r="G30" s="30">
        <f t="shared" si="4"/>
        <v>522.67604352246349</v>
      </c>
      <c r="H30" s="43">
        <f t="shared" si="5"/>
        <v>523.71302176123174</v>
      </c>
      <c r="I30" s="36">
        <f t="shared" si="6"/>
        <v>832.80959999999993</v>
      </c>
      <c r="J30" s="37">
        <f t="shared" si="7"/>
        <v>2388.8096</v>
      </c>
      <c r="K30" s="30">
        <f t="shared" si="8"/>
        <v>452.6946522111017</v>
      </c>
      <c r="L30" s="43">
        <f t="shared" si="9"/>
        <v>452.97232610555085</v>
      </c>
      <c r="M30" s="35">
        <f t="shared" si="10"/>
        <v>70.740695655680895</v>
      </c>
      <c r="N30" s="30">
        <f t="shared" si="11"/>
        <v>60.740695655680895</v>
      </c>
      <c r="O30" s="58">
        <f t="shared" si="12"/>
        <v>36595.124170434632</v>
      </c>
      <c r="P30" s="30">
        <f t="shared" si="13"/>
        <v>18.25</v>
      </c>
      <c r="Q30" s="60">
        <f t="shared" si="14"/>
        <v>294410.35107256705</v>
      </c>
      <c r="R30" s="73">
        <f t="shared" si="15"/>
        <v>7334617.1709626978</v>
      </c>
      <c r="S30" s="74">
        <f t="shared" si="16"/>
        <v>513423.20196738892</v>
      </c>
      <c r="T30" s="3"/>
      <c r="U30" s="3"/>
      <c r="V30" s="3"/>
    </row>
    <row r="31" spans="1:22" x14ac:dyDescent="0.25">
      <c r="A31" s="44">
        <f t="shared" si="1"/>
        <v>12</v>
      </c>
      <c r="B31" s="11">
        <v>29.2</v>
      </c>
      <c r="C31" s="11">
        <v>5</v>
      </c>
      <c r="D31" s="33">
        <f t="shared" si="0"/>
        <v>18.25</v>
      </c>
      <c r="E31" s="36">
        <f t="shared" si="2"/>
        <v>1485.3011830985913</v>
      </c>
      <c r="F31" s="37">
        <f t="shared" si="3"/>
        <v>6299.6988169014085</v>
      </c>
      <c r="G31" s="30">
        <f t="shared" si="4"/>
        <v>522.50753839877041</v>
      </c>
      <c r="H31" s="43">
        <f t="shared" si="5"/>
        <v>523.62876919938526</v>
      </c>
      <c r="I31" s="36">
        <f t="shared" si="6"/>
        <v>681.1776000000001</v>
      </c>
      <c r="J31" s="37">
        <f t="shared" si="7"/>
        <v>2237.1776</v>
      </c>
      <c r="K31" s="30">
        <f t="shared" si="8"/>
        <v>452.249467029676</v>
      </c>
      <c r="L31" s="43">
        <f t="shared" si="9"/>
        <v>452.749733514838</v>
      </c>
      <c r="M31" s="35">
        <f t="shared" si="10"/>
        <v>70.879035684547262</v>
      </c>
      <c r="N31" s="30">
        <f t="shared" si="11"/>
        <v>60.879035684547262</v>
      </c>
      <c r="O31" s="58">
        <f t="shared" si="12"/>
        <v>36678.471430117075</v>
      </c>
      <c r="P31" s="30">
        <f t="shared" si="13"/>
        <v>7.3000000000000007</v>
      </c>
      <c r="Q31" s="60">
        <f t="shared" si="14"/>
        <v>362032.01096093026</v>
      </c>
      <c r="R31" s="73">
        <f t="shared" si="15"/>
        <v>5990036.5535556627</v>
      </c>
      <c r="S31" s="74">
        <f t="shared" si="16"/>
        <v>419302.55874889641</v>
      </c>
      <c r="T31" s="3"/>
      <c r="U31" s="3"/>
      <c r="V31" s="3"/>
    </row>
    <row r="32" spans="1:22" x14ac:dyDescent="0.25">
      <c r="A32" s="44">
        <f t="shared" si="1"/>
        <v>13</v>
      </c>
      <c r="B32" s="11">
        <v>33.799999999999997</v>
      </c>
      <c r="C32" s="11">
        <v>3</v>
      </c>
      <c r="D32" s="33">
        <f t="shared" si="0"/>
        <v>10.95</v>
      </c>
      <c r="E32" s="36">
        <f t="shared" si="2"/>
        <v>1530.0831549295772</v>
      </c>
      <c r="F32" s="37">
        <f t="shared" si="3"/>
        <v>6254.9168450704228</v>
      </c>
      <c r="G32" s="30">
        <f t="shared" si="4"/>
        <v>522.44384525576709</v>
      </c>
      <c r="H32" s="43">
        <f t="shared" si="5"/>
        <v>523.59692262788349</v>
      </c>
      <c r="I32" s="36">
        <f t="shared" si="6"/>
        <v>452.64960000000025</v>
      </c>
      <c r="J32" s="37">
        <f t="shared" si="7"/>
        <v>2008.6496000000002</v>
      </c>
      <c r="K32" s="30">
        <f t="shared" si="8"/>
        <v>451.578518422912</v>
      </c>
      <c r="L32" s="43">
        <f t="shared" si="9"/>
        <v>452.414259211456</v>
      </c>
      <c r="M32" s="35">
        <f t="shared" si="10"/>
        <v>71.182663416427488</v>
      </c>
      <c r="N32" s="30">
        <f t="shared" si="11"/>
        <v>61.182663416427488</v>
      </c>
      <c r="O32" s="58">
        <f t="shared" si="12"/>
        <v>36861.401415192166</v>
      </c>
      <c r="P32" s="30">
        <f t="shared" si="13"/>
        <v>7.2999999999999989</v>
      </c>
      <c r="Q32" s="60">
        <f t="shared" si="14"/>
        <v>421154.49053526594</v>
      </c>
      <c r="R32" s="73">
        <f t="shared" si="15"/>
        <v>2858630.7304611164</v>
      </c>
      <c r="S32" s="74">
        <f t="shared" si="16"/>
        <v>200104.15113227817</v>
      </c>
      <c r="T32" s="3"/>
      <c r="U32" s="3"/>
      <c r="V32" s="3"/>
    </row>
    <row r="33" spans="1:22" x14ac:dyDescent="0.25">
      <c r="A33" s="44">
        <f t="shared" si="1"/>
        <v>14</v>
      </c>
      <c r="B33" s="11">
        <v>49.1</v>
      </c>
      <c r="C33" s="11">
        <v>1</v>
      </c>
      <c r="D33" s="33">
        <f t="shared" si="0"/>
        <v>3.65</v>
      </c>
      <c r="E33" s="36">
        <f t="shared" si="2"/>
        <v>1308.5219154929578</v>
      </c>
      <c r="F33" s="37">
        <f t="shared" si="3"/>
        <v>6476.4780845070418</v>
      </c>
      <c r="G33" s="30">
        <f t="shared" si="4"/>
        <v>522.75963411765326</v>
      </c>
      <c r="H33" s="43">
        <f t="shared" si="5"/>
        <v>523.75481705882657</v>
      </c>
      <c r="I33" s="36">
        <f t="shared" si="6"/>
        <v>0</v>
      </c>
      <c r="J33" s="37">
        <f t="shared" si="7"/>
        <v>1556</v>
      </c>
      <c r="K33" s="30">
        <f t="shared" si="8"/>
        <v>450.24955821465619</v>
      </c>
      <c r="L33" s="43">
        <f t="shared" si="9"/>
        <v>451.7497791073281</v>
      </c>
      <c r="M33" s="35">
        <f t="shared" si="10"/>
        <v>72.00503795149848</v>
      </c>
      <c r="N33" s="30">
        <f t="shared" si="11"/>
        <v>62.00503795149848</v>
      </c>
      <c r="O33" s="58">
        <f t="shared" si="12"/>
        <v>37356.866570812454</v>
      </c>
      <c r="P33" s="30">
        <f t="shared" si="13"/>
        <v>2.5549999999999997</v>
      </c>
      <c r="Q33" s="60">
        <f t="shared" si="14"/>
        <v>620018.75446542806</v>
      </c>
      <c r="R33" s="73">
        <f t="shared" si="15"/>
        <v>3800282.3442525323</v>
      </c>
      <c r="S33" s="74">
        <f t="shared" si="16"/>
        <v>266019.76409767731</v>
      </c>
      <c r="T33" s="3"/>
      <c r="U33" s="3"/>
      <c r="V33" s="3"/>
    </row>
    <row r="34" spans="1:22" ht="13.8" thickBot="1" x14ac:dyDescent="0.3">
      <c r="A34" s="45">
        <f t="shared" si="1"/>
        <v>15</v>
      </c>
      <c r="B34" s="10">
        <v>70</v>
      </c>
      <c r="C34" s="10">
        <v>0.3</v>
      </c>
      <c r="D34" s="34">
        <f t="shared" si="0"/>
        <v>1.095</v>
      </c>
      <c r="E34" s="54">
        <f t="shared" si="2"/>
        <v>85.183098591549296</v>
      </c>
      <c r="F34" s="55">
        <f t="shared" si="3"/>
        <v>7699.8169014084506</v>
      </c>
      <c r="G34" s="56">
        <f t="shared" si="4"/>
        <v>524.65301352857807</v>
      </c>
      <c r="H34" s="57">
        <f t="shared" si="5"/>
        <v>524.70150676428898</v>
      </c>
      <c r="I34" s="54">
        <f t="shared" si="6"/>
        <v>0</v>
      </c>
      <c r="J34" s="55">
        <f t="shared" si="7"/>
        <v>1556</v>
      </c>
      <c r="K34" s="56">
        <f>0.00293595798661*J34+516.681207587491-$B$4</f>
        <v>450.24955821465619</v>
      </c>
      <c r="L34" s="57">
        <f t="shared" si="9"/>
        <v>451.7497791073281</v>
      </c>
      <c r="M34" s="65">
        <f t="shared" si="10"/>
        <v>72.951727656960884</v>
      </c>
      <c r="N34" s="56">
        <f t="shared" si="11"/>
        <v>62.951727656960884</v>
      </c>
      <c r="O34" s="66">
        <f t="shared" si="12"/>
        <v>37927.229273252597</v>
      </c>
      <c r="P34" s="56">
        <f t="shared" si="13"/>
        <v>1.095</v>
      </c>
      <c r="Q34" s="67">
        <f t="shared" si="14"/>
        <v>897433.03069104743</v>
      </c>
      <c r="R34" s="73">
        <f t="shared" si="15"/>
        <v>1938544.6555373971</v>
      </c>
      <c r="S34" s="74">
        <f t="shared" si="16"/>
        <v>135698.12588761782</v>
      </c>
      <c r="T34" s="3"/>
      <c r="U34" s="3"/>
      <c r="V34" s="3"/>
    </row>
    <row r="35" spans="1:22" ht="13.8" x14ac:dyDescent="0.25">
      <c r="E35"/>
      <c r="F35"/>
      <c r="G35"/>
      <c r="H35"/>
      <c r="I35"/>
      <c r="J35"/>
      <c r="K35"/>
      <c r="L35"/>
      <c r="M35"/>
      <c r="N35"/>
      <c r="O35"/>
      <c r="P35" s="59">
        <f>SUM(P20:P34)</f>
        <v>365.00000000000006</v>
      </c>
      <c r="Q35" s="61">
        <f>Q34</f>
        <v>897433.03069104743</v>
      </c>
      <c r="R35" s="101">
        <f>SUM(R21:R34)</f>
        <v>61509356.176194921</v>
      </c>
      <c r="S35" s="75">
        <f>SUM(S21:S34)</f>
        <v>4305654.9323336445</v>
      </c>
      <c r="T35" s="3" t="s">
        <v>85</v>
      </c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86" t="s">
        <v>36</v>
      </c>
      <c r="B40" s="86"/>
      <c r="C40" s="85" t="s">
        <v>35</v>
      </c>
      <c r="D40" s="85"/>
      <c r="E40" s="85"/>
      <c r="F40" s="85"/>
      <c r="G40" s="85"/>
      <c r="H40" s="85"/>
      <c r="I40" s="85"/>
      <c r="J40" s="85"/>
    </row>
    <row r="41" spans="1:22" x14ac:dyDescent="0.25">
      <c r="A41" s="86" t="s">
        <v>34</v>
      </c>
      <c r="B41" s="86"/>
      <c r="C41" s="85" t="s">
        <v>33</v>
      </c>
      <c r="D41" s="85"/>
      <c r="E41" s="85"/>
      <c r="F41" s="85"/>
      <c r="G41" s="85"/>
      <c r="H41" s="85"/>
      <c r="I41" s="85"/>
      <c r="J41" s="85"/>
    </row>
    <row r="42" spans="1:22" x14ac:dyDescent="0.25">
      <c r="A42" s="86" t="s">
        <v>32</v>
      </c>
      <c r="B42" s="86"/>
      <c r="C42" s="85" t="s">
        <v>31</v>
      </c>
      <c r="D42" s="85"/>
      <c r="E42" s="85"/>
      <c r="F42" s="85"/>
      <c r="G42" s="85"/>
      <c r="H42" s="85"/>
      <c r="I42" s="85"/>
      <c r="J42" s="85"/>
    </row>
    <row r="43" spans="1:22" x14ac:dyDescent="0.25">
      <c r="A43" s="86" t="s">
        <v>30</v>
      </c>
      <c r="B43" s="86"/>
      <c r="C43" s="85" t="s">
        <v>29</v>
      </c>
      <c r="D43" s="85"/>
      <c r="E43" s="85"/>
      <c r="F43" s="85"/>
      <c r="G43" s="85"/>
      <c r="H43" s="85"/>
      <c r="I43" s="85"/>
      <c r="J43" s="85"/>
    </row>
    <row r="44" spans="1:22" x14ac:dyDescent="0.25">
      <c r="A44" s="86" t="s">
        <v>28</v>
      </c>
      <c r="B44" s="86"/>
      <c r="C44" s="85" t="s">
        <v>27</v>
      </c>
      <c r="D44" s="85"/>
      <c r="E44" s="85"/>
      <c r="F44" s="85"/>
      <c r="G44" s="85"/>
      <c r="H44" s="85"/>
      <c r="I44" s="85"/>
      <c r="J44" s="85"/>
    </row>
    <row r="45" spans="1:22" x14ac:dyDescent="0.25">
      <c r="A45" s="86" t="s">
        <v>26</v>
      </c>
      <c r="B45" s="86"/>
      <c r="C45" s="85" t="s">
        <v>25</v>
      </c>
      <c r="D45" s="85"/>
      <c r="E45" s="85"/>
      <c r="F45" s="85"/>
      <c r="G45" s="85"/>
      <c r="H45" s="85"/>
      <c r="I45" s="85"/>
      <c r="J45" s="85"/>
    </row>
    <row r="46" spans="1:22" x14ac:dyDescent="0.25">
      <c r="A46" s="86" t="s">
        <v>24</v>
      </c>
      <c r="B46" s="86"/>
      <c r="C46" s="85" t="s">
        <v>23</v>
      </c>
      <c r="D46" s="85"/>
      <c r="E46" s="85"/>
      <c r="F46" s="85"/>
      <c r="G46" s="85"/>
      <c r="H46" s="85"/>
      <c r="I46" s="85"/>
      <c r="J46" s="85"/>
    </row>
    <row r="47" spans="1:22" x14ac:dyDescent="0.25">
      <c r="A47" s="86" t="s">
        <v>22</v>
      </c>
      <c r="B47" s="86"/>
      <c r="C47" s="85" t="s">
        <v>21</v>
      </c>
      <c r="D47" s="85"/>
      <c r="E47" s="85"/>
      <c r="F47" s="85"/>
      <c r="G47" s="85"/>
      <c r="H47" s="85"/>
      <c r="I47" s="85"/>
      <c r="J47" s="85"/>
    </row>
    <row r="48" spans="1:22" x14ac:dyDescent="0.25">
      <c r="A48" s="86" t="s">
        <v>20</v>
      </c>
      <c r="B48" s="86"/>
      <c r="C48" s="85" t="s">
        <v>19</v>
      </c>
      <c r="D48" s="85"/>
      <c r="E48" s="85"/>
      <c r="F48" s="85"/>
      <c r="G48" s="85"/>
      <c r="H48" s="85"/>
      <c r="I48" s="85"/>
      <c r="J48" s="85"/>
    </row>
    <row r="49" spans="1:10" x14ac:dyDescent="0.25">
      <c r="A49" s="86" t="s">
        <v>18</v>
      </c>
      <c r="B49" s="86"/>
      <c r="C49" s="85" t="s">
        <v>17</v>
      </c>
      <c r="D49" s="85"/>
      <c r="E49" s="85"/>
      <c r="F49" s="85"/>
      <c r="G49" s="85"/>
      <c r="H49" s="85"/>
      <c r="I49" s="85"/>
      <c r="J49" s="85"/>
    </row>
    <row r="50" spans="1:10" x14ac:dyDescent="0.25">
      <c r="A50" s="86" t="s">
        <v>16</v>
      </c>
      <c r="B50" s="86"/>
      <c r="C50" s="85" t="s">
        <v>15</v>
      </c>
      <c r="D50" s="85"/>
      <c r="E50" s="85"/>
      <c r="F50" s="85"/>
      <c r="G50" s="85"/>
      <c r="H50" s="85"/>
      <c r="I50" s="85"/>
      <c r="J50" s="85"/>
    </row>
    <row r="51" spans="1:10" x14ac:dyDescent="0.25">
      <c r="A51" s="86" t="s">
        <v>14</v>
      </c>
      <c r="B51" s="86"/>
      <c r="C51" s="85" t="s">
        <v>13</v>
      </c>
      <c r="D51" s="85"/>
      <c r="E51" s="85"/>
      <c r="F51" s="85"/>
      <c r="G51" s="85"/>
      <c r="H51" s="85"/>
      <c r="I51" s="85"/>
      <c r="J51" s="85"/>
    </row>
    <row r="52" spans="1:10" x14ac:dyDescent="0.25">
      <c r="A52" s="86" t="s">
        <v>12</v>
      </c>
      <c r="B52" s="86" t="s">
        <v>11</v>
      </c>
      <c r="C52" s="85" t="s">
        <v>10</v>
      </c>
      <c r="D52" s="85"/>
      <c r="E52" s="85"/>
      <c r="F52" s="85"/>
      <c r="G52" s="85"/>
      <c r="H52" s="85"/>
      <c r="I52" s="85"/>
      <c r="J52" s="85"/>
    </row>
    <row r="53" spans="1:10" ht="13.8" x14ac:dyDescent="0.3">
      <c r="A53" s="86" t="s">
        <v>9</v>
      </c>
      <c r="B53" s="86"/>
      <c r="C53" s="85" t="s">
        <v>8</v>
      </c>
      <c r="D53" s="85"/>
      <c r="E53" s="85"/>
      <c r="F53" s="85"/>
      <c r="G53" s="85"/>
      <c r="H53" s="85"/>
      <c r="I53" s="85"/>
      <c r="J53" s="85"/>
    </row>
    <row r="54" spans="1:10" x14ac:dyDescent="0.25">
      <c r="A54" s="86" t="s">
        <v>7</v>
      </c>
      <c r="B54" s="86"/>
      <c r="C54" s="85" t="s">
        <v>6</v>
      </c>
      <c r="D54" s="85"/>
      <c r="E54" s="85"/>
      <c r="F54" s="85"/>
      <c r="G54" s="85"/>
      <c r="H54" s="85"/>
      <c r="I54" s="85"/>
      <c r="J54" s="85"/>
    </row>
    <row r="55" spans="1:10" x14ac:dyDescent="0.25">
      <c r="A55" s="86" t="s">
        <v>5</v>
      </c>
      <c r="B55" s="86"/>
      <c r="C55" s="85" t="s">
        <v>4</v>
      </c>
      <c r="D55" s="85"/>
      <c r="E55" s="85"/>
      <c r="F55" s="85"/>
      <c r="G55" s="85"/>
      <c r="H55" s="85"/>
      <c r="I55" s="85"/>
      <c r="J55" s="85"/>
    </row>
    <row r="56" spans="1:10" x14ac:dyDescent="0.25">
      <c r="A56" s="86" t="s">
        <v>3</v>
      </c>
      <c r="B56" s="86"/>
      <c r="C56" s="85" t="s">
        <v>2</v>
      </c>
      <c r="D56" s="85"/>
      <c r="E56" s="85"/>
      <c r="F56" s="85"/>
      <c r="G56" s="85"/>
      <c r="H56" s="85"/>
      <c r="I56" s="85"/>
      <c r="J56" s="85"/>
    </row>
    <row r="57" spans="1:10" x14ac:dyDescent="0.25">
      <c r="A57" s="86" t="s">
        <v>1</v>
      </c>
      <c r="B57" s="86"/>
      <c r="C57" s="85" t="s">
        <v>0</v>
      </c>
      <c r="D57" s="85"/>
      <c r="E57" s="85"/>
      <c r="F57" s="85"/>
      <c r="G57" s="85"/>
      <c r="H57" s="85"/>
      <c r="I57" s="85"/>
      <c r="J57" s="85"/>
    </row>
  </sheetData>
  <mergeCells count="47">
    <mergeCell ref="G2:Q2"/>
    <mergeCell ref="H3:P3"/>
    <mergeCell ref="H4:P4"/>
    <mergeCell ref="H6:P6"/>
    <mergeCell ref="H7:P7"/>
    <mergeCell ref="A18:D18"/>
    <mergeCell ref="E18:H18"/>
    <mergeCell ref="I18:L18"/>
    <mergeCell ref="M18:S18"/>
    <mergeCell ref="A10:C10"/>
    <mergeCell ref="A14:C14"/>
    <mergeCell ref="A40:B40"/>
    <mergeCell ref="A41:B41"/>
    <mergeCell ref="A42:B42"/>
    <mergeCell ref="A43:B43"/>
    <mergeCell ref="A44:B44"/>
    <mergeCell ref="A53:B53"/>
    <mergeCell ref="A54:B54"/>
    <mergeCell ref="A55:B55"/>
    <mergeCell ref="A56:B56"/>
    <mergeCell ref="A57:B57"/>
    <mergeCell ref="A52:B52"/>
    <mergeCell ref="A46:B46"/>
    <mergeCell ref="A47:B47"/>
    <mergeCell ref="A48:B48"/>
    <mergeCell ref="C45:J45"/>
    <mergeCell ref="C46:J46"/>
    <mergeCell ref="C47:J47"/>
    <mergeCell ref="C48:J48"/>
    <mergeCell ref="C49:J49"/>
    <mergeCell ref="A49:B49"/>
    <mergeCell ref="A50:B50"/>
    <mergeCell ref="A51:B51"/>
    <mergeCell ref="A45:B45"/>
    <mergeCell ref="C40:J40"/>
    <mergeCell ref="C41:J41"/>
    <mergeCell ref="C42:J42"/>
    <mergeCell ref="C43:J43"/>
    <mergeCell ref="C44:J44"/>
    <mergeCell ref="C55:J55"/>
    <mergeCell ref="C56:J56"/>
    <mergeCell ref="C57:J57"/>
    <mergeCell ref="C50:J50"/>
    <mergeCell ref="C51:J51"/>
    <mergeCell ref="C52:J52"/>
    <mergeCell ref="C53:J53"/>
    <mergeCell ref="C54:J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Q7" zoomScale="85" zoomScaleNormal="85" workbookViewId="0">
      <selection activeCell="B11" sqref="B11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2.44140625" style="4" bestFit="1" customWidth="1"/>
    <col min="8" max="8" width="9.6640625" style="4" customWidth="1"/>
    <col min="9" max="9" width="13.6640625" style="4" customWidth="1"/>
    <col min="10" max="10" width="13.44140625" style="4" customWidth="1"/>
    <col min="11" max="11" width="9.109375" style="4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97" t="s">
        <v>75</v>
      </c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17" ht="27.6" x14ac:dyDescent="0.25">
      <c r="A3" s="24" t="s">
        <v>5</v>
      </c>
      <c r="B3" s="29">
        <v>68</v>
      </c>
      <c r="C3" s="24" t="s">
        <v>68</v>
      </c>
      <c r="G3" s="15" t="s">
        <v>76</v>
      </c>
      <c r="H3" s="98" t="s">
        <v>77</v>
      </c>
      <c r="I3" s="98"/>
      <c r="J3" s="98"/>
      <c r="K3" s="98"/>
      <c r="L3" s="98"/>
      <c r="M3" s="98"/>
      <c r="N3" s="98"/>
      <c r="O3" s="98"/>
      <c r="P3" s="98"/>
      <c r="Q3" s="16" t="s">
        <v>60</v>
      </c>
    </row>
    <row r="4" spans="1:17" ht="27.6" x14ac:dyDescent="0.25">
      <c r="A4" s="24" t="s">
        <v>24</v>
      </c>
      <c r="B4" s="29">
        <v>68</v>
      </c>
      <c r="C4" s="24" t="s">
        <v>72</v>
      </c>
      <c r="G4" s="15" t="s">
        <v>78</v>
      </c>
      <c r="H4" s="98" t="s">
        <v>79</v>
      </c>
      <c r="I4" s="98"/>
      <c r="J4" s="98"/>
      <c r="K4" s="98"/>
      <c r="L4" s="98"/>
      <c r="M4" s="98"/>
      <c r="N4" s="98"/>
      <c r="O4" s="98"/>
      <c r="P4" s="98"/>
      <c r="Q4" s="16" t="s">
        <v>80</v>
      </c>
    </row>
    <row r="5" spans="1:17" x14ac:dyDescent="0.25">
      <c r="A5" s="24" t="s">
        <v>73</v>
      </c>
      <c r="B5" s="31">
        <f>'[1]Pressure Tunnel Losses-Opti'!$B$80+'[1]Penstock Losses-Opti'!$B$53</f>
        <v>4.3748735583954375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99" t="s">
        <v>82</v>
      </c>
      <c r="I6" s="99"/>
      <c r="J6" s="99"/>
      <c r="K6" s="99"/>
      <c r="L6" s="99"/>
      <c r="M6" s="99"/>
      <c r="N6" s="99"/>
      <c r="O6" s="99"/>
      <c r="P6" s="99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100" t="s">
        <v>84</v>
      </c>
      <c r="I7" s="100"/>
      <c r="J7" s="100"/>
      <c r="K7" s="100"/>
      <c r="L7" s="100"/>
      <c r="M7" s="100"/>
      <c r="N7" s="100"/>
      <c r="O7" s="100"/>
      <c r="P7" s="100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6" t="s">
        <v>65</v>
      </c>
      <c r="B10" s="96"/>
      <c r="C10" s="96"/>
      <c r="D10" s="14"/>
    </row>
    <row r="11" spans="1:17" x14ac:dyDescent="0.25">
      <c r="A11" s="24" t="s">
        <v>64</v>
      </c>
      <c r="B11" s="32">
        <v>524.74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6" t="s">
        <v>62</v>
      </c>
      <c r="B14" s="96"/>
      <c r="C14" s="96"/>
    </row>
    <row r="15" spans="1:17" x14ac:dyDescent="0.25">
      <c r="A15" s="24" t="s">
        <v>61</v>
      </c>
      <c r="B15" s="77">
        <v>431.25</v>
      </c>
      <c r="C15" s="24" t="s">
        <v>60</v>
      </c>
    </row>
    <row r="16" spans="1:17" x14ac:dyDescent="0.25">
      <c r="A16" s="24" t="s">
        <v>59</v>
      </c>
      <c r="B16" s="77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87" t="s">
        <v>57</v>
      </c>
      <c r="B18" s="88"/>
      <c r="C18" s="88"/>
      <c r="D18" s="89"/>
      <c r="E18" s="90" t="s">
        <v>56</v>
      </c>
      <c r="F18" s="91"/>
      <c r="G18" s="91"/>
      <c r="H18" s="92"/>
      <c r="I18" s="93" t="s">
        <v>55</v>
      </c>
      <c r="J18" s="94"/>
      <c r="K18" s="94"/>
      <c r="L18" s="95"/>
      <c r="M18" s="87" t="s">
        <v>54</v>
      </c>
      <c r="N18" s="88"/>
      <c r="O18" s="88"/>
      <c r="P18" s="88"/>
      <c r="Q18" s="88"/>
      <c r="R18" s="88"/>
      <c r="S18" s="89"/>
    </row>
    <row r="19" spans="1:22" ht="53.4" thickBot="1" x14ac:dyDescent="0.3">
      <c r="A19" s="78"/>
      <c r="B19" s="79" t="s">
        <v>53</v>
      </c>
      <c r="C19" s="79" t="s">
        <v>52</v>
      </c>
      <c r="D19" s="80" t="s">
        <v>51</v>
      </c>
      <c r="E19" s="46" t="s">
        <v>50</v>
      </c>
      <c r="F19" s="47" t="s">
        <v>49</v>
      </c>
      <c r="G19" s="48" t="s">
        <v>48</v>
      </c>
      <c r="H19" s="49" t="s">
        <v>47</v>
      </c>
      <c r="I19" s="46" t="s">
        <v>50</v>
      </c>
      <c r="J19" s="48" t="s">
        <v>46</v>
      </c>
      <c r="K19" s="48" t="s">
        <v>45</v>
      </c>
      <c r="L19" s="49" t="s">
        <v>44</v>
      </c>
      <c r="M19" s="68" t="s">
        <v>43</v>
      </c>
      <c r="N19" s="69" t="s">
        <v>42</v>
      </c>
      <c r="O19" s="70" t="s">
        <v>41</v>
      </c>
      <c r="P19" s="71" t="s">
        <v>40</v>
      </c>
      <c r="Q19" s="72" t="s">
        <v>39</v>
      </c>
      <c r="R19" s="41" t="s">
        <v>38</v>
      </c>
      <c r="S19" s="42" t="s">
        <v>37</v>
      </c>
    </row>
    <row r="20" spans="1:22" x14ac:dyDescent="0.25">
      <c r="A20" s="44">
        <v>1</v>
      </c>
      <c r="B20" s="81">
        <v>1.6</v>
      </c>
      <c r="C20" s="81">
        <v>100</v>
      </c>
      <c r="D20" s="82">
        <f t="shared" ref="D20:D33" si="0">C20*3.65</f>
        <v>365</v>
      </c>
      <c r="E20" s="50">
        <f>IF(B20&lt;B$3,($B$3-B20)*B20/$B$3*24*3.6,0)</f>
        <v>134.98729411764708</v>
      </c>
      <c r="F20" s="51">
        <f>$B$12-E20</f>
        <v>7650.0127058823527</v>
      </c>
      <c r="G20" s="52">
        <f>501.8595+0.007054*F20-9.04456*10^-7*F20^2+4.84154*10^-11*F20^3</f>
        <v>524.56703092897556</v>
      </c>
      <c r="H20" s="53">
        <f>(G20+$B$11)/2</f>
        <v>524.65351546448778</v>
      </c>
      <c r="I20" s="50">
        <f>IF(B20&lt;$B$7,($B$7-B20)*B20/$B$7*24*3.6,0)</f>
        <v>132.71040000000002</v>
      </c>
      <c r="J20" s="51">
        <f>$B$16+I20</f>
        <v>1688.7103999999999</v>
      </c>
      <c r="K20" s="52">
        <f>0.00293595798661*J20+516.681207587491-$B$4</f>
        <v>453.63919037344237</v>
      </c>
      <c r="L20" s="53">
        <f>(K20+$B$15)/2</f>
        <v>442.44459518672119</v>
      </c>
      <c r="M20" s="62">
        <f>H20-L20</f>
        <v>82.208920277766595</v>
      </c>
      <c r="N20" s="52">
        <f>M20-$B$5</f>
        <v>77.834046719371159</v>
      </c>
      <c r="O20" s="63">
        <f>9.81*N20*$B$3*$B$8</f>
        <v>44912.128541007769</v>
      </c>
      <c r="P20" s="52">
        <f>D20-D21</f>
        <v>9.125</v>
      </c>
      <c r="Q20" s="64">
        <f>IF(B20&lt;$B$3,O20*B20/$B$3*24,O20*24)</f>
        <v>25362.143176098507</v>
      </c>
      <c r="S20" s="76"/>
    </row>
    <row r="21" spans="1:22" x14ac:dyDescent="0.25">
      <c r="A21" s="44">
        <f t="shared" ref="A21:A34" si="1">A20+1</f>
        <v>2</v>
      </c>
      <c r="B21" s="81">
        <v>3.6</v>
      </c>
      <c r="C21" s="81">
        <v>97.5</v>
      </c>
      <c r="D21" s="82">
        <f t="shared" si="0"/>
        <v>355.875</v>
      </c>
      <c r="E21" s="36">
        <f t="shared" ref="E21:E34" si="2">IF(B21&lt;B$3,($B$3-B21)*B21/$B$3*24*3.6,0)</f>
        <v>294.57317647058829</v>
      </c>
      <c r="F21" s="37">
        <f t="shared" ref="F21:F34" si="3">$B$12-E21</f>
        <v>7490.4268235294121</v>
      </c>
      <c r="G21" s="30">
        <f t="shared" ref="G21:G34" si="4">501.8595+0.007054*F21-9.04456*10^-7*F21^2+4.84154*10^-11*F21^3</f>
        <v>524.29824854647279</v>
      </c>
      <c r="H21" s="43">
        <f t="shared" ref="H21:H34" si="5">(G21+$B$11)/2</f>
        <v>524.51912427323646</v>
      </c>
      <c r="I21" s="36">
        <f t="shared" ref="I21:I34" si="6">IF(B21&lt;$B$7,($B$7-B21)*B21/$B$7*24*3.6,0)</f>
        <v>283.04640000000001</v>
      </c>
      <c r="J21" s="37">
        <f t="shared" ref="J21:J34" si="7">$B$16+I21</f>
        <v>1839.0463999999999</v>
      </c>
      <c r="K21" s="30">
        <f t="shared" ref="K21:K33" si="8">0.00293595798661*J21+516.681207587491-$B$4</f>
        <v>454.08057055331744</v>
      </c>
      <c r="L21" s="43">
        <f t="shared" ref="L21:L34" si="9">(K21+$B$15)/2</f>
        <v>442.66528527665872</v>
      </c>
      <c r="M21" s="35">
        <f t="shared" ref="M21:M34" si="10">H21-L21</f>
        <v>81.853838996577736</v>
      </c>
      <c r="N21" s="30">
        <f t="shared" ref="N21:N34" si="11">M21-$B$5</f>
        <v>77.4789654381823</v>
      </c>
      <c r="O21" s="58">
        <f t="shared" ref="O21:O34" si="12">9.81*N21*$B$3*$B$8</f>
        <v>44707.238048794788</v>
      </c>
      <c r="P21" s="30">
        <f t="shared" ref="P21:P34" si="13">D21-D22</f>
        <v>9.125</v>
      </c>
      <c r="Q21" s="60">
        <f t="shared" ref="Q21:Q34" si="14">IF(B21&lt;$B$3,O21*B21/$B$3*24,O21*24)</f>
        <v>56804.490697292211</v>
      </c>
      <c r="R21" s="73">
        <f>(Q20+Q21)/2*P20</f>
        <v>374885.26704734517</v>
      </c>
      <c r="S21" s="74">
        <f>R21*$B$6</f>
        <v>26241.968693314164</v>
      </c>
      <c r="T21" s="3"/>
      <c r="U21" s="3"/>
      <c r="V21" s="3"/>
    </row>
    <row r="22" spans="1:22" x14ac:dyDescent="0.25">
      <c r="A22" s="44">
        <f t="shared" si="1"/>
        <v>3</v>
      </c>
      <c r="B22" s="81">
        <v>5.4</v>
      </c>
      <c r="C22" s="81">
        <v>95</v>
      </c>
      <c r="D22" s="82">
        <f t="shared" si="0"/>
        <v>346.75</v>
      </c>
      <c r="E22" s="36">
        <f t="shared" si="2"/>
        <v>429.50964705882353</v>
      </c>
      <c r="F22" s="37">
        <f t="shared" si="3"/>
        <v>7355.4903529411768</v>
      </c>
      <c r="G22" s="30">
        <f t="shared" si="4"/>
        <v>524.07832196529034</v>
      </c>
      <c r="H22" s="43">
        <f t="shared" si="5"/>
        <v>524.40916098264518</v>
      </c>
      <c r="I22" s="36">
        <f t="shared" si="6"/>
        <v>403.57440000000008</v>
      </c>
      <c r="J22" s="37">
        <f t="shared" si="7"/>
        <v>1959.5744</v>
      </c>
      <c r="K22" s="30">
        <f t="shared" si="8"/>
        <v>454.43443569752753</v>
      </c>
      <c r="L22" s="43">
        <f t="shared" si="9"/>
        <v>442.84221784876377</v>
      </c>
      <c r="M22" s="35">
        <f t="shared" si="10"/>
        <v>81.566943133881409</v>
      </c>
      <c r="N22" s="30">
        <f t="shared" si="11"/>
        <v>77.192069575485974</v>
      </c>
      <c r="O22" s="58">
        <f t="shared" si="12"/>
        <v>44541.692193139141</v>
      </c>
      <c r="P22" s="30">
        <f t="shared" si="13"/>
        <v>18.25</v>
      </c>
      <c r="Q22" s="60">
        <f t="shared" si="14"/>
        <v>84891.225121041658</v>
      </c>
      <c r="R22" s="73">
        <f t="shared" ref="R22:R34" si="15">(Q21+Q22)/2*P21</f>
        <v>646486.70342114836</v>
      </c>
      <c r="S22" s="74">
        <f t="shared" ref="S22:S34" si="16">R22*$B$6</f>
        <v>45254.069239480392</v>
      </c>
      <c r="T22" s="3"/>
      <c r="U22" s="3"/>
      <c r="V22" s="3"/>
    </row>
    <row r="23" spans="1:22" x14ac:dyDescent="0.25">
      <c r="A23" s="44">
        <f t="shared" si="1"/>
        <v>4</v>
      </c>
      <c r="B23" s="81">
        <v>6</v>
      </c>
      <c r="C23" s="81">
        <v>90</v>
      </c>
      <c r="D23" s="82">
        <f t="shared" si="0"/>
        <v>328.5</v>
      </c>
      <c r="E23" s="36">
        <f t="shared" si="2"/>
        <v>472.65882352941185</v>
      </c>
      <c r="F23" s="37">
        <f t="shared" si="3"/>
        <v>7312.3411764705879</v>
      </c>
      <c r="G23" s="30">
        <f t="shared" si="4"/>
        <v>524.00928876468436</v>
      </c>
      <c r="H23" s="43">
        <f t="shared" si="5"/>
        <v>524.37464438234224</v>
      </c>
      <c r="I23" s="36">
        <f t="shared" si="6"/>
        <v>440.64</v>
      </c>
      <c r="J23" s="37">
        <f t="shared" si="7"/>
        <v>1996.6399999999999</v>
      </c>
      <c r="K23" s="30">
        <f t="shared" si="8"/>
        <v>454.543258741876</v>
      </c>
      <c r="L23" s="43">
        <f t="shared" si="9"/>
        <v>442.896629370938</v>
      </c>
      <c r="M23" s="35">
        <f t="shared" si="10"/>
        <v>81.478015011404239</v>
      </c>
      <c r="N23" s="30">
        <f t="shared" si="11"/>
        <v>77.103141453008803</v>
      </c>
      <c r="O23" s="58">
        <f t="shared" si="12"/>
        <v>44490.378514409247</v>
      </c>
      <c r="P23" s="30">
        <f t="shared" si="13"/>
        <v>54.75</v>
      </c>
      <c r="Q23" s="60">
        <f t="shared" si="14"/>
        <v>94214.919206984297</v>
      </c>
      <c r="R23" s="73">
        <f t="shared" si="15"/>
        <v>1634343.5669932368</v>
      </c>
      <c r="S23" s="74">
        <f t="shared" si="16"/>
        <v>114404.04968952658</v>
      </c>
      <c r="T23" s="3"/>
      <c r="U23" s="3"/>
      <c r="V23" s="3"/>
    </row>
    <row r="24" spans="1:22" x14ac:dyDescent="0.25">
      <c r="A24" s="44">
        <f t="shared" si="1"/>
        <v>5</v>
      </c>
      <c r="B24" s="81">
        <v>7.6</v>
      </c>
      <c r="C24" s="81">
        <v>75</v>
      </c>
      <c r="D24" s="82">
        <f t="shared" si="0"/>
        <v>273.75</v>
      </c>
      <c r="E24" s="36">
        <f t="shared" si="2"/>
        <v>583.25082352941172</v>
      </c>
      <c r="F24" s="37">
        <f t="shared" si="3"/>
        <v>7201.7491764705883</v>
      </c>
      <c r="G24" s="30">
        <f t="shared" si="4"/>
        <v>523.83498027168923</v>
      </c>
      <c r="H24" s="43">
        <f t="shared" si="5"/>
        <v>524.28749013584456</v>
      </c>
      <c r="I24" s="36">
        <f t="shared" si="6"/>
        <v>531.87840000000006</v>
      </c>
      <c r="J24" s="37">
        <f t="shared" si="7"/>
        <v>2087.8784000000001</v>
      </c>
      <c r="K24" s="30">
        <f t="shared" si="8"/>
        <v>454.81113085104153</v>
      </c>
      <c r="L24" s="43">
        <f t="shared" si="9"/>
        <v>443.03056542552076</v>
      </c>
      <c r="M24" s="35">
        <f t="shared" si="10"/>
        <v>81.256924710323801</v>
      </c>
      <c r="N24" s="30">
        <f t="shared" si="11"/>
        <v>76.882051151928366</v>
      </c>
      <c r="O24" s="58">
        <f t="shared" si="12"/>
        <v>44362.80406030055</v>
      </c>
      <c r="P24" s="30">
        <f t="shared" si="13"/>
        <v>45.625</v>
      </c>
      <c r="Q24" s="60">
        <f t="shared" si="14"/>
        <v>118996.69794998266</v>
      </c>
      <c r="R24" s="73">
        <f t="shared" si="15"/>
        <v>5836668.01967197</v>
      </c>
      <c r="S24" s="74">
        <f t="shared" si="16"/>
        <v>408566.76137703797</v>
      </c>
      <c r="T24" s="3"/>
      <c r="U24" s="3"/>
      <c r="V24" s="3"/>
    </row>
    <row r="25" spans="1:22" x14ac:dyDescent="0.25">
      <c r="A25" s="44">
        <f t="shared" si="1"/>
        <v>6</v>
      </c>
      <c r="B25" s="81">
        <v>8.4</v>
      </c>
      <c r="C25" s="81">
        <v>62.5</v>
      </c>
      <c r="D25" s="82">
        <f t="shared" si="0"/>
        <v>228.125</v>
      </c>
      <c r="E25" s="36">
        <f t="shared" si="2"/>
        <v>636.10729411764714</v>
      </c>
      <c r="F25" s="37">
        <f t="shared" si="3"/>
        <v>7148.8927058823529</v>
      </c>
      <c r="G25" s="30">
        <f t="shared" si="4"/>
        <v>523.75291828791501</v>
      </c>
      <c r="H25" s="43">
        <f t="shared" si="5"/>
        <v>524.24645914395751</v>
      </c>
      <c r="I25" s="36">
        <f t="shared" si="6"/>
        <v>573.35040000000004</v>
      </c>
      <c r="J25" s="37">
        <f t="shared" si="7"/>
        <v>2129.3504000000003</v>
      </c>
      <c r="K25" s="30">
        <f t="shared" si="8"/>
        <v>454.93289090066219</v>
      </c>
      <c r="L25" s="43">
        <f t="shared" si="9"/>
        <v>443.09144545033109</v>
      </c>
      <c r="M25" s="35">
        <f t="shared" si="10"/>
        <v>81.155013693626415</v>
      </c>
      <c r="N25" s="30">
        <f t="shared" si="11"/>
        <v>76.78014013523098</v>
      </c>
      <c r="O25" s="58">
        <f t="shared" si="12"/>
        <v>44303.99893741955</v>
      </c>
      <c r="P25" s="30">
        <f t="shared" si="13"/>
        <v>45.625</v>
      </c>
      <c r="Q25" s="60">
        <f t="shared" si="14"/>
        <v>131348.32626152621</v>
      </c>
      <c r="R25" s="73">
        <f t="shared" si="15"/>
        <v>5710995.8648250457</v>
      </c>
      <c r="S25" s="74">
        <f t="shared" si="16"/>
        <v>399769.71053775324</v>
      </c>
      <c r="T25" s="3"/>
      <c r="U25" s="3"/>
      <c r="V25" s="3"/>
    </row>
    <row r="26" spans="1:22" x14ac:dyDescent="0.25">
      <c r="A26" s="44">
        <f t="shared" si="1"/>
        <v>7</v>
      </c>
      <c r="B26" s="81">
        <v>9.1</v>
      </c>
      <c r="C26" s="81">
        <v>50</v>
      </c>
      <c r="D26" s="82">
        <f t="shared" si="0"/>
        <v>182.5</v>
      </c>
      <c r="E26" s="36">
        <f t="shared" si="2"/>
        <v>681.02258823529417</v>
      </c>
      <c r="F26" s="37">
        <f t="shared" si="3"/>
        <v>7103.9774117647057</v>
      </c>
      <c r="G26" s="30">
        <f t="shared" si="4"/>
        <v>523.68377500283202</v>
      </c>
      <c r="H26" s="43">
        <f t="shared" si="5"/>
        <v>524.21188750141596</v>
      </c>
      <c r="I26" s="36">
        <f t="shared" si="6"/>
        <v>607.37040000000002</v>
      </c>
      <c r="J26" s="37">
        <f t="shared" si="7"/>
        <v>2163.3703999999998</v>
      </c>
      <c r="K26" s="30">
        <f t="shared" si="8"/>
        <v>455.03277219136669</v>
      </c>
      <c r="L26" s="43">
        <f t="shared" si="9"/>
        <v>443.14138609568334</v>
      </c>
      <c r="M26" s="35">
        <f t="shared" si="10"/>
        <v>81.070501405732614</v>
      </c>
      <c r="N26" s="30">
        <f t="shared" si="11"/>
        <v>76.695627847337178</v>
      </c>
      <c r="O26" s="58">
        <f t="shared" si="12"/>
        <v>44255.233302107459</v>
      </c>
      <c r="P26" s="30">
        <f t="shared" si="13"/>
        <v>45.625</v>
      </c>
      <c r="Q26" s="60">
        <f t="shared" si="14"/>
        <v>142137.39637029805</v>
      </c>
      <c r="R26" s="73">
        <f t="shared" si="15"/>
        <v>6238893.047538491</v>
      </c>
      <c r="S26" s="74">
        <f t="shared" si="16"/>
        <v>436722.51332769438</v>
      </c>
      <c r="T26" s="3"/>
      <c r="U26" s="3"/>
      <c r="V26" s="3"/>
    </row>
    <row r="27" spans="1:22" x14ac:dyDescent="0.25">
      <c r="A27" s="44">
        <f t="shared" si="1"/>
        <v>8</v>
      </c>
      <c r="B27" s="81">
        <v>10</v>
      </c>
      <c r="C27" s="81">
        <v>37.5</v>
      </c>
      <c r="D27" s="82">
        <f t="shared" si="0"/>
        <v>136.875</v>
      </c>
      <c r="E27" s="36">
        <f t="shared" si="2"/>
        <v>736.94117647058818</v>
      </c>
      <c r="F27" s="37">
        <f t="shared" si="3"/>
        <v>7048.0588235294117</v>
      </c>
      <c r="G27" s="30">
        <f t="shared" si="4"/>
        <v>523.59840824879439</v>
      </c>
      <c r="H27" s="43">
        <f t="shared" si="5"/>
        <v>524.1692041243972</v>
      </c>
      <c r="I27" s="36">
        <f t="shared" si="6"/>
        <v>648</v>
      </c>
      <c r="J27" s="37">
        <f t="shared" si="7"/>
        <v>2204</v>
      </c>
      <c r="K27" s="30">
        <f t="shared" si="8"/>
        <v>455.15205898997942</v>
      </c>
      <c r="L27" s="43">
        <f t="shared" si="9"/>
        <v>443.20102949498971</v>
      </c>
      <c r="M27" s="35">
        <f t="shared" si="10"/>
        <v>80.968174629407486</v>
      </c>
      <c r="N27" s="30">
        <f t="shared" si="11"/>
        <v>76.59330107101205</v>
      </c>
      <c r="O27" s="58">
        <f t="shared" si="12"/>
        <v>44196.18827585988</v>
      </c>
      <c r="P27" s="30">
        <f t="shared" si="13"/>
        <v>45.625</v>
      </c>
      <c r="Q27" s="60">
        <f t="shared" si="14"/>
        <v>155986.54685597605</v>
      </c>
      <c r="R27" s="73">
        <f t="shared" si="15"/>
        <v>6800952.4548493782</v>
      </c>
      <c r="S27" s="74">
        <f t="shared" si="16"/>
        <v>476066.67183945654</v>
      </c>
      <c r="T27" s="3"/>
      <c r="U27" s="3"/>
      <c r="V27" s="3"/>
    </row>
    <row r="28" spans="1:22" x14ac:dyDescent="0.25">
      <c r="A28" s="44">
        <f t="shared" si="1"/>
        <v>9</v>
      </c>
      <c r="B28" s="81">
        <v>10.9</v>
      </c>
      <c r="C28" s="81">
        <v>25</v>
      </c>
      <c r="D28" s="82">
        <f t="shared" si="0"/>
        <v>91.25</v>
      </c>
      <c r="E28" s="36">
        <f t="shared" si="2"/>
        <v>790.8014117647059</v>
      </c>
      <c r="F28" s="37">
        <f t="shared" si="3"/>
        <v>6994.1985882352938</v>
      </c>
      <c r="G28" s="30">
        <f t="shared" si="4"/>
        <v>523.51688949631989</v>
      </c>
      <c r="H28" s="43">
        <f t="shared" si="5"/>
        <v>524.12844474815995</v>
      </c>
      <c r="I28" s="36">
        <f t="shared" si="6"/>
        <v>685.13040000000012</v>
      </c>
      <c r="J28" s="37">
        <f t="shared" si="7"/>
        <v>2241.1304</v>
      </c>
      <c r="K28" s="30">
        <f t="shared" si="8"/>
        <v>455.26107228440549</v>
      </c>
      <c r="L28" s="43">
        <f t="shared" si="9"/>
        <v>443.25553614220274</v>
      </c>
      <c r="M28" s="35">
        <f t="shared" si="10"/>
        <v>80.872908605957207</v>
      </c>
      <c r="N28" s="30">
        <f t="shared" si="11"/>
        <v>76.498035047561771</v>
      </c>
      <c r="O28" s="58">
        <f t="shared" si="12"/>
        <v>44141.217474891295</v>
      </c>
      <c r="P28" s="30">
        <f t="shared" si="13"/>
        <v>27.375</v>
      </c>
      <c r="Q28" s="60">
        <f t="shared" si="14"/>
        <v>169813.86016811122</v>
      </c>
      <c r="R28" s="73">
        <f t="shared" si="15"/>
        <v>7432321.785236991</v>
      </c>
      <c r="S28" s="74">
        <f t="shared" si="16"/>
        <v>520262.52496658941</v>
      </c>
      <c r="T28" s="3"/>
      <c r="U28" s="3"/>
      <c r="V28" s="3"/>
    </row>
    <row r="29" spans="1:22" x14ac:dyDescent="0.25">
      <c r="A29" s="44">
        <f t="shared" si="1"/>
        <v>10</v>
      </c>
      <c r="B29" s="81">
        <v>12</v>
      </c>
      <c r="C29" s="81">
        <v>17.5</v>
      </c>
      <c r="D29" s="82">
        <f t="shared" si="0"/>
        <v>63.875</v>
      </c>
      <c r="E29" s="36">
        <f t="shared" si="2"/>
        <v>853.83529411764709</v>
      </c>
      <c r="F29" s="37">
        <f t="shared" si="3"/>
        <v>6931.1647058823528</v>
      </c>
      <c r="G29" s="30">
        <f t="shared" si="4"/>
        <v>523.42230394733338</v>
      </c>
      <c r="H29" s="43">
        <f t="shared" si="5"/>
        <v>524.08115197366669</v>
      </c>
      <c r="I29" s="36">
        <f t="shared" si="6"/>
        <v>725.7600000000001</v>
      </c>
      <c r="J29" s="37">
        <f t="shared" si="7"/>
        <v>2281.7600000000002</v>
      </c>
      <c r="K29" s="30">
        <f t="shared" si="8"/>
        <v>455.38035908301822</v>
      </c>
      <c r="L29" s="43">
        <f t="shared" si="9"/>
        <v>443.31517954150911</v>
      </c>
      <c r="M29" s="35">
        <f t="shared" si="10"/>
        <v>80.765972432157582</v>
      </c>
      <c r="N29" s="30">
        <f t="shared" si="11"/>
        <v>76.391098873762147</v>
      </c>
      <c r="O29" s="58">
        <f t="shared" si="12"/>
        <v>44079.512714753502</v>
      </c>
      <c r="P29" s="30">
        <f t="shared" si="13"/>
        <v>27.375</v>
      </c>
      <c r="Q29" s="60">
        <f t="shared" si="14"/>
        <v>186689.70090954425</v>
      </c>
      <c r="R29" s="73">
        <f t="shared" si="15"/>
        <v>4879642.492250409</v>
      </c>
      <c r="S29" s="74">
        <f t="shared" si="16"/>
        <v>341574.97445752867</v>
      </c>
      <c r="T29" s="3"/>
      <c r="U29" s="3"/>
      <c r="V29" s="3"/>
    </row>
    <row r="30" spans="1:22" x14ac:dyDescent="0.25">
      <c r="A30" s="44">
        <f t="shared" si="1"/>
        <v>11</v>
      </c>
      <c r="B30" s="81">
        <v>12.7</v>
      </c>
      <c r="C30" s="81">
        <v>10</v>
      </c>
      <c r="D30" s="82">
        <f t="shared" si="0"/>
        <v>36.5</v>
      </c>
      <c r="E30" s="36">
        <f t="shared" si="2"/>
        <v>892.34682352941184</v>
      </c>
      <c r="F30" s="37">
        <f t="shared" si="3"/>
        <v>6892.6531764705878</v>
      </c>
      <c r="G30" s="30">
        <f t="shared" si="4"/>
        <v>523.36492002166733</v>
      </c>
      <c r="H30" s="43">
        <f t="shared" si="5"/>
        <v>524.05246001083367</v>
      </c>
      <c r="I30" s="36">
        <f t="shared" si="6"/>
        <v>748.89360000000011</v>
      </c>
      <c r="J30" s="37">
        <f t="shared" si="7"/>
        <v>2304.8936000000003</v>
      </c>
      <c r="K30" s="30">
        <f t="shared" si="8"/>
        <v>455.44827836069726</v>
      </c>
      <c r="L30" s="43">
        <f t="shared" si="9"/>
        <v>443.34913918034863</v>
      </c>
      <c r="M30" s="35">
        <f t="shared" si="10"/>
        <v>80.70332083048504</v>
      </c>
      <c r="N30" s="30">
        <f t="shared" si="11"/>
        <v>76.328447272089605</v>
      </c>
      <c r="O30" s="58">
        <f t="shared" si="12"/>
        <v>44043.361224419692</v>
      </c>
      <c r="P30" s="30">
        <f t="shared" si="13"/>
        <v>18.25</v>
      </c>
      <c r="Q30" s="60">
        <f t="shared" si="14"/>
        <v>197417.88972357532</v>
      </c>
      <c r="R30" s="73">
        <f t="shared" si="15"/>
        <v>5257472.6467908239</v>
      </c>
      <c r="S30" s="74">
        <f t="shared" si="16"/>
        <v>368023.08527535771</v>
      </c>
      <c r="T30" s="3"/>
      <c r="U30" s="3"/>
      <c r="V30" s="3"/>
    </row>
    <row r="31" spans="1:22" x14ac:dyDescent="0.25">
      <c r="A31" s="44">
        <f t="shared" si="1"/>
        <v>12</v>
      </c>
      <c r="B31" s="81">
        <v>14.2</v>
      </c>
      <c r="C31" s="81">
        <v>5</v>
      </c>
      <c r="D31" s="82">
        <f t="shared" si="0"/>
        <v>18.25</v>
      </c>
      <c r="E31" s="36">
        <f t="shared" si="2"/>
        <v>970.67858823529411</v>
      </c>
      <c r="F31" s="37">
        <f t="shared" si="3"/>
        <v>6814.3214117647058</v>
      </c>
      <c r="G31" s="30">
        <f t="shared" si="4"/>
        <v>523.24906932209126</v>
      </c>
      <c r="H31" s="43">
        <f t="shared" si="5"/>
        <v>523.99453466104569</v>
      </c>
      <c r="I31" s="36">
        <f t="shared" si="6"/>
        <v>791.33760000000018</v>
      </c>
      <c r="J31" s="37">
        <f t="shared" si="7"/>
        <v>2347.3376000000003</v>
      </c>
      <c r="K31" s="30">
        <f t="shared" si="8"/>
        <v>455.57289216148104</v>
      </c>
      <c r="L31" s="43">
        <f t="shared" si="9"/>
        <v>443.41144608074052</v>
      </c>
      <c r="M31" s="35">
        <f t="shared" si="10"/>
        <v>80.583088580305173</v>
      </c>
      <c r="N31" s="30">
        <f t="shared" si="11"/>
        <v>76.208215021909737</v>
      </c>
      <c r="O31" s="58">
        <f t="shared" si="12"/>
        <v>43973.984306445454</v>
      </c>
      <c r="P31" s="30">
        <f t="shared" si="13"/>
        <v>7.3000000000000007</v>
      </c>
      <c r="Q31" s="60">
        <f t="shared" si="14"/>
        <v>220387.26252406777</v>
      </c>
      <c r="R31" s="73">
        <f t="shared" si="15"/>
        <v>3812472.0142597435</v>
      </c>
      <c r="S31" s="74">
        <f t="shared" si="16"/>
        <v>266873.04099818208</v>
      </c>
      <c r="T31" s="3"/>
      <c r="U31" s="3"/>
      <c r="V31" s="3"/>
    </row>
    <row r="32" spans="1:22" x14ac:dyDescent="0.25">
      <c r="A32" s="44">
        <f t="shared" si="1"/>
        <v>13</v>
      </c>
      <c r="B32" s="81">
        <v>14.5</v>
      </c>
      <c r="C32" s="81">
        <v>3</v>
      </c>
      <c r="D32" s="82">
        <f t="shared" si="0"/>
        <v>10.95</v>
      </c>
      <c r="E32" s="36">
        <f t="shared" si="2"/>
        <v>985.65882352941185</v>
      </c>
      <c r="F32" s="37">
        <f t="shared" si="3"/>
        <v>6799.3411764705879</v>
      </c>
      <c r="G32" s="30">
        <f t="shared" si="4"/>
        <v>523.22703745325362</v>
      </c>
      <c r="H32" s="43">
        <f t="shared" si="5"/>
        <v>523.98351872662681</v>
      </c>
      <c r="I32" s="36">
        <f t="shared" si="6"/>
        <v>798.66000000000008</v>
      </c>
      <c r="J32" s="37">
        <f t="shared" si="7"/>
        <v>2354.66</v>
      </c>
      <c r="K32" s="30">
        <f t="shared" si="8"/>
        <v>455.59439042024212</v>
      </c>
      <c r="L32" s="43">
        <f t="shared" si="9"/>
        <v>443.42219521012106</v>
      </c>
      <c r="M32" s="35">
        <f t="shared" si="10"/>
        <v>80.561323516505752</v>
      </c>
      <c r="N32" s="30">
        <f t="shared" si="11"/>
        <v>76.186449958110316</v>
      </c>
      <c r="O32" s="58">
        <f t="shared" si="12"/>
        <v>43961.425337918641</v>
      </c>
      <c r="P32" s="30">
        <f t="shared" si="13"/>
        <v>7.2999999999999989</v>
      </c>
      <c r="Q32" s="60">
        <f t="shared" si="14"/>
        <v>224979.05908228952</v>
      </c>
      <c r="R32" s="73">
        <f t="shared" si="15"/>
        <v>1625587.0738632043</v>
      </c>
      <c r="S32" s="74">
        <f t="shared" si="16"/>
        <v>113791.09517042432</v>
      </c>
      <c r="T32" s="3"/>
      <c r="U32" s="3"/>
      <c r="V32" s="3"/>
    </row>
    <row r="33" spans="1:22" x14ac:dyDescent="0.25">
      <c r="A33" s="44">
        <f t="shared" si="1"/>
        <v>14</v>
      </c>
      <c r="B33" s="81">
        <v>16.7</v>
      </c>
      <c r="C33" s="81">
        <v>1</v>
      </c>
      <c r="D33" s="82">
        <f t="shared" si="0"/>
        <v>3.65</v>
      </c>
      <c r="E33" s="36">
        <f t="shared" si="2"/>
        <v>1088.5256470588236</v>
      </c>
      <c r="F33" s="37">
        <f t="shared" si="3"/>
        <v>6696.4743529411762</v>
      </c>
      <c r="G33" s="30">
        <f t="shared" si="4"/>
        <v>523.07670429077393</v>
      </c>
      <c r="H33" s="43">
        <f t="shared" si="5"/>
        <v>523.90835214538697</v>
      </c>
      <c r="I33" s="36">
        <f t="shared" si="6"/>
        <v>840.47760000000005</v>
      </c>
      <c r="J33" s="37">
        <f t="shared" si="7"/>
        <v>2396.4776000000002</v>
      </c>
      <c r="K33" s="30">
        <f t="shared" si="8"/>
        <v>455.71716513694298</v>
      </c>
      <c r="L33" s="43">
        <f t="shared" si="9"/>
        <v>443.48358256847149</v>
      </c>
      <c r="M33" s="35">
        <f t="shared" si="10"/>
        <v>80.42476957691548</v>
      </c>
      <c r="N33" s="30">
        <f t="shared" si="11"/>
        <v>76.049896018520045</v>
      </c>
      <c r="O33" s="58">
        <f t="shared" si="12"/>
        <v>43882.63041016971</v>
      </c>
      <c r="P33" s="30">
        <f t="shared" si="13"/>
        <v>2.5549999999999997</v>
      </c>
      <c r="Q33" s="60">
        <f t="shared" si="14"/>
        <v>258649.38629994143</v>
      </c>
      <c r="R33" s="73">
        <f t="shared" si="15"/>
        <v>1765243.8256451425</v>
      </c>
      <c r="S33" s="74">
        <f t="shared" si="16"/>
        <v>123567.06779515998</v>
      </c>
      <c r="T33" s="3"/>
      <c r="U33" s="3"/>
      <c r="V33" s="3"/>
    </row>
    <row r="34" spans="1:22" ht="13.8" thickBot="1" x14ac:dyDescent="0.3">
      <c r="A34" s="45">
        <f t="shared" si="1"/>
        <v>15</v>
      </c>
      <c r="B34" s="83">
        <v>24.6</v>
      </c>
      <c r="C34" s="83">
        <v>0.3</v>
      </c>
      <c r="D34" s="84">
        <f>C34*3.65</f>
        <v>1.095</v>
      </c>
      <c r="E34" s="54">
        <f t="shared" si="2"/>
        <v>1356.5308235294119</v>
      </c>
      <c r="F34" s="55">
        <f t="shared" si="3"/>
        <v>6428.4691764705876</v>
      </c>
      <c r="G34" s="56">
        <f t="shared" si="4"/>
        <v>522.69101442734041</v>
      </c>
      <c r="H34" s="57">
        <f t="shared" si="5"/>
        <v>523.71550721367021</v>
      </c>
      <c r="I34" s="54">
        <f t="shared" si="6"/>
        <v>818.2944</v>
      </c>
      <c r="J34" s="55">
        <f t="shared" si="7"/>
        <v>2374.2943999999998</v>
      </c>
      <c r="K34" s="56">
        <f>0.00293595798661*J34+516.681207587491-$B$4</f>
        <v>455.65203619373438</v>
      </c>
      <c r="L34" s="57">
        <f t="shared" si="9"/>
        <v>443.45101809686719</v>
      </c>
      <c r="M34" s="65">
        <f t="shared" si="10"/>
        <v>80.26448911680302</v>
      </c>
      <c r="N34" s="56">
        <f t="shared" si="11"/>
        <v>75.889615558407584</v>
      </c>
      <c r="O34" s="66">
        <f t="shared" si="12"/>
        <v>43790.144705897692</v>
      </c>
      <c r="P34" s="56">
        <f t="shared" si="13"/>
        <v>1.095</v>
      </c>
      <c r="Q34" s="67">
        <f t="shared" si="14"/>
        <v>380201.49168179405</v>
      </c>
      <c r="R34" s="73">
        <f t="shared" si="15"/>
        <v>816131.99662166706</v>
      </c>
      <c r="S34" s="74">
        <f t="shared" si="16"/>
        <v>57129.2397635167</v>
      </c>
      <c r="T34" s="3"/>
      <c r="U34" s="3"/>
      <c r="V34" s="3"/>
    </row>
    <row r="35" spans="1:22" ht="13.8" x14ac:dyDescent="0.25">
      <c r="E35"/>
      <c r="F35"/>
      <c r="G35"/>
      <c r="H35"/>
      <c r="I35"/>
      <c r="J35"/>
      <c r="K35"/>
      <c r="L35"/>
      <c r="M35"/>
      <c r="N35"/>
      <c r="O35"/>
      <c r="P35" s="59">
        <f>SUM(P20:P34)</f>
        <v>365.00000000000006</v>
      </c>
      <c r="Q35" s="61">
        <f>Q34</f>
        <v>380201.49168179405</v>
      </c>
      <c r="R35"/>
      <c r="S35" s="75">
        <f>SUM(S21:S34)</f>
        <v>3698246.7731310213</v>
      </c>
      <c r="T35" s="3" t="s">
        <v>85</v>
      </c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86" t="s">
        <v>36</v>
      </c>
      <c r="B40" s="86"/>
      <c r="C40" s="85" t="s">
        <v>35</v>
      </c>
      <c r="D40" s="85"/>
      <c r="E40" s="85"/>
      <c r="F40" s="85"/>
      <c r="G40" s="85"/>
      <c r="H40" s="85"/>
      <c r="I40" s="85"/>
      <c r="J40" s="85"/>
    </row>
    <row r="41" spans="1:22" x14ac:dyDescent="0.25">
      <c r="A41" s="86" t="s">
        <v>34</v>
      </c>
      <c r="B41" s="86"/>
      <c r="C41" s="85" t="s">
        <v>33</v>
      </c>
      <c r="D41" s="85"/>
      <c r="E41" s="85"/>
      <c r="F41" s="85"/>
      <c r="G41" s="85"/>
      <c r="H41" s="85"/>
      <c r="I41" s="85"/>
      <c r="J41" s="85"/>
    </row>
    <row r="42" spans="1:22" x14ac:dyDescent="0.25">
      <c r="A42" s="86" t="s">
        <v>32</v>
      </c>
      <c r="B42" s="86"/>
      <c r="C42" s="85" t="s">
        <v>31</v>
      </c>
      <c r="D42" s="85"/>
      <c r="E42" s="85"/>
      <c r="F42" s="85"/>
      <c r="G42" s="85"/>
      <c r="H42" s="85"/>
      <c r="I42" s="85"/>
      <c r="J42" s="85"/>
    </row>
    <row r="43" spans="1:22" x14ac:dyDescent="0.25">
      <c r="A43" s="86" t="s">
        <v>30</v>
      </c>
      <c r="B43" s="86"/>
      <c r="C43" s="85" t="s">
        <v>29</v>
      </c>
      <c r="D43" s="85"/>
      <c r="E43" s="85"/>
      <c r="F43" s="85"/>
      <c r="G43" s="85"/>
      <c r="H43" s="85"/>
      <c r="I43" s="85"/>
      <c r="J43" s="85"/>
    </row>
    <row r="44" spans="1:22" x14ac:dyDescent="0.25">
      <c r="A44" s="86" t="s">
        <v>28</v>
      </c>
      <c r="B44" s="86"/>
      <c r="C44" s="85" t="s">
        <v>27</v>
      </c>
      <c r="D44" s="85"/>
      <c r="E44" s="85"/>
      <c r="F44" s="85"/>
      <c r="G44" s="85"/>
      <c r="H44" s="85"/>
      <c r="I44" s="85"/>
      <c r="J44" s="85"/>
    </row>
    <row r="45" spans="1:22" x14ac:dyDescent="0.25">
      <c r="A45" s="86" t="s">
        <v>26</v>
      </c>
      <c r="B45" s="86"/>
      <c r="C45" s="85" t="s">
        <v>25</v>
      </c>
      <c r="D45" s="85"/>
      <c r="E45" s="85"/>
      <c r="F45" s="85"/>
      <c r="G45" s="85"/>
      <c r="H45" s="85"/>
      <c r="I45" s="85"/>
      <c r="J45" s="85"/>
    </row>
    <row r="46" spans="1:22" x14ac:dyDescent="0.25">
      <c r="A46" s="86" t="s">
        <v>24</v>
      </c>
      <c r="B46" s="86"/>
      <c r="C46" s="85" t="s">
        <v>23</v>
      </c>
      <c r="D46" s="85"/>
      <c r="E46" s="85"/>
      <c r="F46" s="85"/>
      <c r="G46" s="85"/>
      <c r="H46" s="85"/>
      <c r="I46" s="85"/>
      <c r="J46" s="85"/>
    </row>
    <row r="47" spans="1:22" x14ac:dyDescent="0.25">
      <c r="A47" s="86" t="s">
        <v>22</v>
      </c>
      <c r="B47" s="86"/>
      <c r="C47" s="85" t="s">
        <v>21</v>
      </c>
      <c r="D47" s="85"/>
      <c r="E47" s="85"/>
      <c r="F47" s="85"/>
      <c r="G47" s="85"/>
      <c r="H47" s="85"/>
      <c r="I47" s="85"/>
      <c r="J47" s="85"/>
    </row>
    <row r="48" spans="1:22" x14ac:dyDescent="0.25">
      <c r="A48" s="86" t="s">
        <v>20</v>
      </c>
      <c r="B48" s="86"/>
      <c r="C48" s="85" t="s">
        <v>19</v>
      </c>
      <c r="D48" s="85"/>
      <c r="E48" s="85"/>
      <c r="F48" s="85"/>
      <c r="G48" s="85"/>
      <c r="H48" s="85"/>
      <c r="I48" s="85"/>
      <c r="J48" s="85"/>
    </row>
    <row r="49" spans="1:10" x14ac:dyDescent="0.25">
      <c r="A49" s="86" t="s">
        <v>18</v>
      </c>
      <c r="B49" s="86"/>
      <c r="C49" s="85" t="s">
        <v>17</v>
      </c>
      <c r="D49" s="85"/>
      <c r="E49" s="85"/>
      <c r="F49" s="85"/>
      <c r="G49" s="85"/>
      <c r="H49" s="85"/>
      <c r="I49" s="85"/>
      <c r="J49" s="85"/>
    </row>
    <row r="50" spans="1:10" x14ac:dyDescent="0.25">
      <c r="A50" s="86" t="s">
        <v>16</v>
      </c>
      <c r="B50" s="86"/>
      <c r="C50" s="85" t="s">
        <v>15</v>
      </c>
      <c r="D50" s="85"/>
      <c r="E50" s="85"/>
      <c r="F50" s="85"/>
      <c r="G50" s="85"/>
      <c r="H50" s="85"/>
      <c r="I50" s="85"/>
      <c r="J50" s="85"/>
    </row>
    <row r="51" spans="1:10" x14ac:dyDescent="0.25">
      <c r="A51" s="86" t="s">
        <v>14</v>
      </c>
      <c r="B51" s="86"/>
      <c r="C51" s="85" t="s">
        <v>13</v>
      </c>
      <c r="D51" s="85"/>
      <c r="E51" s="85"/>
      <c r="F51" s="85"/>
      <c r="G51" s="85"/>
      <c r="H51" s="85"/>
      <c r="I51" s="85"/>
      <c r="J51" s="85"/>
    </row>
    <row r="52" spans="1:10" x14ac:dyDescent="0.25">
      <c r="A52" s="86" t="s">
        <v>12</v>
      </c>
      <c r="B52" s="86" t="s">
        <v>11</v>
      </c>
      <c r="C52" s="85" t="s">
        <v>10</v>
      </c>
      <c r="D52" s="85"/>
      <c r="E52" s="85"/>
      <c r="F52" s="85"/>
      <c r="G52" s="85"/>
      <c r="H52" s="85"/>
      <c r="I52" s="85"/>
      <c r="J52" s="85"/>
    </row>
    <row r="53" spans="1:10" ht="13.8" x14ac:dyDescent="0.3">
      <c r="A53" s="86" t="s">
        <v>9</v>
      </c>
      <c r="B53" s="86"/>
      <c r="C53" s="85" t="s">
        <v>8</v>
      </c>
      <c r="D53" s="85"/>
      <c r="E53" s="85"/>
      <c r="F53" s="85"/>
      <c r="G53" s="85"/>
      <c r="H53" s="85"/>
      <c r="I53" s="85"/>
      <c r="J53" s="85"/>
    </row>
    <row r="54" spans="1:10" x14ac:dyDescent="0.25">
      <c r="A54" s="86" t="s">
        <v>7</v>
      </c>
      <c r="B54" s="86"/>
      <c r="C54" s="85" t="s">
        <v>6</v>
      </c>
      <c r="D54" s="85"/>
      <c r="E54" s="85"/>
      <c r="F54" s="85"/>
      <c r="G54" s="85"/>
      <c r="H54" s="85"/>
      <c r="I54" s="85"/>
      <c r="J54" s="85"/>
    </row>
    <row r="55" spans="1:10" x14ac:dyDescent="0.25">
      <c r="A55" s="86" t="s">
        <v>5</v>
      </c>
      <c r="B55" s="86"/>
      <c r="C55" s="85" t="s">
        <v>4</v>
      </c>
      <c r="D55" s="85"/>
      <c r="E55" s="85"/>
      <c r="F55" s="85"/>
      <c r="G55" s="85"/>
      <c r="H55" s="85"/>
      <c r="I55" s="85"/>
      <c r="J55" s="85"/>
    </row>
    <row r="56" spans="1:10" x14ac:dyDescent="0.25">
      <c r="A56" s="86" t="s">
        <v>3</v>
      </c>
      <c r="B56" s="86"/>
      <c r="C56" s="85" t="s">
        <v>2</v>
      </c>
      <c r="D56" s="85"/>
      <c r="E56" s="85"/>
      <c r="F56" s="85"/>
      <c r="G56" s="85"/>
      <c r="H56" s="85"/>
      <c r="I56" s="85"/>
      <c r="J56" s="85"/>
    </row>
    <row r="57" spans="1:10" x14ac:dyDescent="0.25">
      <c r="A57" s="86" t="s">
        <v>1</v>
      </c>
      <c r="B57" s="86"/>
      <c r="C57" s="85" t="s">
        <v>0</v>
      </c>
      <c r="D57" s="85"/>
      <c r="E57" s="85"/>
      <c r="F57" s="85"/>
      <c r="G57" s="85"/>
      <c r="H57" s="85"/>
      <c r="I57" s="85"/>
      <c r="J57" s="85"/>
    </row>
  </sheetData>
  <mergeCells count="47">
    <mergeCell ref="A40:B40"/>
    <mergeCell ref="C40:J40"/>
    <mergeCell ref="G2:Q2"/>
    <mergeCell ref="H3:P3"/>
    <mergeCell ref="H4:P4"/>
    <mergeCell ref="H6:P6"/>
    <mergeCell ref="H7:P7"/>
    <mergeCell ref="A10:C10"/>
    <mergeCell ref="A14:C14"/>
    <mergeCell ref="A18:D18"/>
    <mergeCell ref="E18:H18"/>
    <mergeCell ref="I18:L18"/>
    <mergeCell ref="M18:S18"/>
    <mergeCell ref="A41:B41"/>
    <mergeCell ref="C41:J41"/>
    <mergeCell ref="A42:B42"/>
    <mergeCell ref="C42:J42"/>
    <mergeCell ref="A43:B43"/>
    <mergeCell ref="C43:J43"/>
    <mergeCell ref="A44:B44"/>
    <mergeCell ref="C44:J44"/>
    <mergeCell ref="A45:B45"/>
    <mergeCell ref="C45:J45"/>
    <mergeCell ref="A46:B46"/>
    <mergeCell ref="C46:J46"/>
    <mergeCell ref="A47:B47"/>
    <mergeCell ref="C47:J47"/>
    <mergeCell ref="A48:B48"/>
    <mergeCell ref="C48:J48"/>
    <mergeCell ref="A49:B49"/>
    <mergeCell ref="C49:J49"/>
    <mergeCell ref="A50:B50"/>
    <mergeCell ref="C50:J50"/>
    <mergeCell ref="A51:B51"/>
    <mergeCell ref="C51:J51"/>
    <mergeCell ref="A52:B52"/>
    <mergeCell ref="C52:J52"/>
    <mergeCell ref="A56:B56"/>
    <mergeCell ref="C56:J56"/>
    <mergeCell ref="A57:B57"/>
    <mergeCell ref="C57:J57"/>
    <mergeCell ref="A53:B53"/>
    <mergeCell ref="C53:J53"/>
    <mergeCell ref="A54:B54"/>
    <mergeCell ref="C54:J54"/>
    <mergeCell ref="A55:B55"/>
    <mergeCell ref="C55:J5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L6" zoomScale="70" zoomScaleNormal="70" workbookViewId="0">
      <selection activeCell="B6" sqref="B6"/>
    </sheetView>
  </sheetViews>
  <sheetFormatPr baseColWidth="10" defaultColWidth="9.109375" defaultRowHeight="13.2" x14ac:dyDescent="0.25"/>
  <cols>
    <col min="1" max="1" width="12.109375" style="1" customWidth="1"/>
    <col min="2" max="2" width="7.44140625" style="1" customWidth="1"/>
    <col min="3" max="3" width="10" style="1" bestFit="1" customWidth="1"/>
    <col min="4" max="4" width="9.109375" style="3"/>
    <col min="5" max="5" width="12" style="2" customWidth="1"/>
    <col min="6" max="6" width="14.6640625" style="2" customWidth="1"/>
    <col min="7" max="7" width="12.44140625" style="4" bestFit="1" customWidth="1"/>
    <col min="8" max="8" width="9.6640625" style="4" customWidth="1"/>
    <col min="9" max="9" width="13.6640625" style="4" customWidth="1"/>
    <col min="10" max="10" width="13.44140625" style="4" customWidth="1"/>
    <col min="11" max="11" width="9.109375" style="4"/>
    <col min="12" max="12" width="11" style="4" bestFit="1" customWidth="1"/>
    <col min="13" max="13" width="11.88671875" style="1" bestFit="1" customWidth="1"/>
    <col min="14" max="14" width="10.6640625" style="1" customWidth="1"/>
    <col min="15" max="15" width="9.109375" style="2"/>
    <col min="16" max="16" width="8.88671875" style="3" customWidth="1"/>
    <col min="17" max="17" width="11.6640625" style="2" customWidth="1"/>
    <col min="18" max="18" width="14.44140625" style="2" bestFit="1" customWidth="1"/>
    <col min="19" max="19" width="15" style="1" bestFit="1" customWidth="1"/>
    <col min="20" max="31" width="9.109375" style="1"/>
  </cols>
  <sheetData>
    <row r="1" spans="1:17" x14ac:dyDescent="0.25">
      <c r="A1" s="9" t="s">
        <v>74</v>
      </c>
    </row>
    <row r="2" spans="1:17" x14ac:dyDescent="0.25">
      <c r="A2" s="9"/>
      <c r="G2" s="97" t="s">
        <v>75</v>
      </c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17" ht="27.6" x14ac:dyDescent="0.25">
      <c r="A3" s="24" t="s">
        <v>5</v>
      </c>
      <c r="B3" s="29">
        <v>71</v>
      </c>
      <c r="C3" s="24" t="s">
        <v>68</v>
      </c>
      <c r="G3" s="15" t="s">
        <v>76</v>
      </c>
      <c r="H3" s="98" t="s">
        <v>77</v>
      </c>
      <c r="I3" s="98"/>
      <c r="J3" s="98"/>
      <c r="K3" s="98"/>
      <c r="L3" s="98"/>
      <c r="M3" s="98"/>
      <c r="N3" s="98"/>
      <c r="O3" s="98"/>
      <c r="P3" s="98"/>
      <c r="Q3" s="16" t="s">
        <v>60</v>
      </c>
    </row>
    <row r="4" spans="1:17" ht="27.6" x14ac:dyDescent="0.25">
      <c r="A4" s="24" t="s">
        <v>24</v>
      </c>
      <c r="B4" s="29">
        <v>71</v>
      </c>
      <c r="C4" s="24" t="s">
        <v>72</v>
      </c>
      <c r="G4" s="15" t="s">
        <v>78</v>
      </c>
      <c r="H4" s="98" t="s">
        <v>79</v>
      </c>
      <c r="I4" s="98"/>
      <c r="J4" s="98"/>
      <c r="K4" s="98"/>
      <c r="L4" s="98"/>
      <c r="M4" s="98"/>
      <c r="N4" s="98"/>
      <c r="O4" s="98"/>
      <c r="P4" s="98"/>
      <c r="Q4" s="16" t="s">
        <v>80</v>
      </c>
    </row>
    <row r="5" spans="1:17" x14ac:dyDescent="0.25">
      <c r="A5" s="24" t="s">
        <v>73</v>
      </c>
      <c r="B5" s="31">
        <v>10</v>
      </c>
      <c r="C5" s="24" t="s">
        <v>72</v>
      </c>
      <c r="G5" s="17"/>
      <c r="H5" s="18"/>
      <c r="I5" s="18"/>
      <c r="J5" s="18"/>
      <c r="K5" s="18"/>
      <c r="L5" s="18"/>
      <c r="M5" s="19"/>
      <c r="N5" s="19"/>
      <c r="O5" s="20"/>
      <c r="P5" s="21"/>
      <c r="Q5" s="22"/>
    </row>
    <row r="6" spans="1:17" ht="26.4" x14ac:dyDescent="0.25">
      <c r="A6" s="24" t="s">
        <v>71</v>
      </c>
      <c r="B6" s="25">
        <v>7.0000000000000007E-2</v>
      </c>
      <c r="C6" s="24" t="s">
        <v>70</v>
      </c>
      <c r="G6" s="23" t="s">
        <v>81</v>
      </c>
      <c r="H6" s="99" t="s">
        <v>82</v>
      </c>
      <c r="I6" s="99"/>
      <c r="J6" s="99"/>
      <c r="K6" s="99"/>
      <c r="L6" s="99"/>
      <c r="M6" s="99"/>
      <c r="N6" s="99"/>
      <c r="O6" s="99"/>
      <c r="P6" s="99"/>
      <c r="Q6" s="16" t="s">
        <v>60</v>
      </c>
    </row>
    <row r="7" spans="1:17" ht="26.4" x14ac:dyDescent="0.25">
      <c r="A7" s="24" t="s">
        <v>69</v>
      </c>
      <c r="B7" s="25">
        <v>40</v>
      </c>
      <c r="C7" s="24" t="s">
        <v>68</v>
      </c>
      <c r="G7" s="23" t="s">
        <v>83</v>
      </c>
      <c r="H7" s="100" t="s">
        <v>84</v>
      </c>
      <c r="I7" s="100"/>
      <c r="J7" s="100"/>
      <c r="K7" s="100"/>
      <c r="L7" s="100"/>
      <c r="M7" s="100"/>
      <c r="N7" s="100"/>
      <c r="O7" s="100"/>
      <c r="P7" s="100"/>
      <c r="Q7" s="16" t="s">
        <v>80</v>
      </c>
    </row>
    <row r="8" spans="1:17" ht="13.8" x14ac:dyDescent="0.25">
      <c r="A8" s="26" t="s">
        <v>67</v>
      </c>
      <c r="B8" s="25">
        <v>0.86499999999999999</v>
      </c>
      <c r="C8" s="24" t="s">
        <v>66</v>
      </c>
    </row>
    <row r="9" spans="1:17" x14ac:dyDescent="0.25">
      <c r="A9" s="27"/>
      <c r="B9" s="28"/>
      <c r="C9" s="27"/>
    </row>
    <row r="10" spans="1:17" x14ac:dyDescent="0.25">
      <c r="A10" s="96" t="s">
        <v>65</v>
      </c>
      <c r="B10" s="96"/>
      <c r="C10" s="96"/>
      <c r="D10" s="14"/>
    </row>
    <row r="11" spans="1:17" x14ac:dyDescent="0.25">
      <c r="A11" s="24" t="s">
        <v>64</v>
      </c>
      <c r="B11" s="32">
        <v>524.74</v>
      </c>
      <c r="C11" s="24" t="s">
        <v>60</v>
      </c>
      <c r="D11" s="12"/>
    </row>
    <row r="12" spans="1:17" x14ac:dyDescent="0.25">
      <c r="A12" s="24" t="s">
        <v>63</v>
      </c>
      <c r="B12" s="32">
        <v>7785</v>
      </c>
      <c r="C12" s="24" t="s">
        <v>58</v>
      </c>
      <c r="D12" s="12"/>
    </row>
    <row r="13" spans="1:17" x14ac:dyDescent="0.25">
      <c r="A13" s="27"/>
      <c r="B13" s="28"/>
      <c r="C13" s="27"/>
    </row>
    <row r="14" spans="1:17" ht="27.75" customHeight="1" x14ac:dyDescent="0.25">
      <c r="A14" s="96" t="s">
        <v>62</v>
      </c>
      <c r="B14" s="96"/>
      <c r="C14" s="96"/>
    </row>
    <row r="15" spans="1:17" x14ac:dyDescent="0.25">
      <c r="A15" s="24" t="s">
        <v>61</v>
      </c>
      <c r="B15" s="77">
        <v>431.25</v>
      </c>
      <c r="C15" s="24" t="s">
        <v>60</v>
      </c>
    </row>
    <row r="16" spans="1:17" x14ac:dyDescent="0.25">
      <c r="A16" s="24" t="s">
        <v>59</v>
      </c>
      <c r="B16" s="77">
        <v>1556</v>
      </c>
      <c r="C16" s="24" t="s">
        <v>58</v>
      </c>
    </row>
    <row r="17" spans="1:22" ht="13.8" thickBot="1" x14ac:dyDescent="0.3">
      <c r="A17" s="12"/>
      <c r="B17" s="13"/>
      <c r="C17" s="12"/>
    </row>
    <row r="18" spans="1:22" ht="19.5" customHeight="1" thickBot="1" x14ac:dyDescent="0.3">
      <c r="A18" s="87" t="s">
        <v>57</v>
      </c>
      <c r="B18" s="88"/>
      <c r="C18" s="88"/>
      <c r="D18" s="89"/>
      <c r="E18" s="90" t="s">
        <v>56</v>
      </c>
      <c r="F18" s="91"/>
      <c r="G18" s="91"/>
      <c r="H18" s="92"/>
      <c r="I18" s="93" t="s">
        <v>55</v>
      </c>
      <c r="J18" s="94"/>
      <c r="K18" s="94"/>
      <c r="L18" s="95"/>
      <c r="M18" s="87" t="s">
        <v>54</v>
      </c>
      <c r="N18" s="88"/>
      <c r="O18" s="88"/>
      <c r="P18" s="88"/>
      <c r="Q18" s="88"/>
      <c r="R18" s="88"/>
      <c r="S18" s="89"/>
    </row>
    <row r="19" spans="1:22" ht="53.4" thickBot="1" x14ac:dyDescent="0.3">
      <c r="A19" s="78"/>
      <c r="B19" s="79" t="s">
        <v>53</v>
      </c>
      <c r="C19" s="79" t="s">
        <v>52</v>
      </c>
      <c r="D19" s="80" t="s">
        <v>51</v>
      </c>
      <c r="E19" s="46" t="s">
        <v>50</v>
      </c>
      <c r="F19" s="47" t="s">
        <v>49</v>
      </c>
      <c r="G19" s="48" t="s">
        <v>48</v>
      </c>
      <c r="H19" s="49" t="s">
        <v>47</v>
      </c>
      <c r="I19" s="46" t="s">
        <v>50</v>
      </c>
      <c r="J19" s="48" t="s">
        <v>46</v>
      </c>
      <c r="K19" s="48" t="s">
        <v>45</v>
      </c>
      <c r="L19" s="49" t="s">
        <v>44</v>
      </c>
      <c r="M19" s="68" t="s">
        <v>43</v>
      </c>
      <c r="N19" s="69" t="s">
        <v>42</v>
      </c>
      <c r="O19" s="70" t="s">
        <v>41</v>
      </c>
      <c r="P19" s="71" t="s">
        <v>40</v>
      </c>
      <c r="Q19" s="72" t="s">
        <v>39</v>
      </c>
      <c r="R19" s="41" t="s">
        <v>38</v>
      </c>
      <c r="S19" s="42" t="s">
        <v>37</v>
      </c>
    </row>
    <row r="20" spans="1:22" x14ac:dyDescent="0.25">
      <c r="A20" s="44">
        <v>1</v>
      </c>
      <c r="B20" s="81">
        <v>2.4</v>
      </c>
      <c r="C20" s="81">
        <v>100</v>
      </c>
      <c r="D20" s="82">
        <f t="shared" ref="D20:D33" si="0">C20*3.65</f>
        <v>365</v>
      </c>
      <c r="E20" s="50">
        <f>IF(B20&lt;B$3,($B$3-B20)*B20/$B$3*24*3.6,0)</f>
        <v>200.3506478873239</v>
      </c>
      <c r="F20" s="51">
        <f>$B$12-E20</f>
        <v>7584.6493521126758</v>
      </c>
      <c r="G20" s="52">
        <f>501.8595+0.007054*F20-9.04456*10^-7*F20^2+4.84154*10^-11*F20^3</f>
        <v>524.45573695636949</v>
      </c>
      <c r="H20" s="53">
        <f>(G20+$B$11)/2</f>
        <v>524.59786847818475</v>
      </c>
      <c r="I20" s="50">
        <f>IF(B20&lt;$B$7,($B$7-B20)*B20/$B$7*24*3.6,0)</f>
        <v>194.91839999999996</v>
      </c>
      <c r="J20" s="51">
        <f>$B$16+I20</f>
        <v>1750.9184</v>
      </c>
      <c r="K20" s="52">
        <f>0.00293595798661*J20+516.681207587491-$B$4</f>
        <v>450.82183044787348</v>
      </c>
      <c r="L20" s="53">
        <f>(K20+$B$15)/2</f>
        <v>441.03591522393674</v>
      </c>
      <c r="M20" s="62">
        <f>H20-L20</f>
        <v>83.56195325424801</v>
      </c>
      <c r="N20" s="52">
        <f>M20-$B$5</f>
        <v>73.56195325424801</v>
      </c>
      <c r="O20" s="63">
        <f>9.81*N20*$B$3*$B$8</f>
        <v>44319.690192865586</v>
      </c>
      <c r="P20" s="52">
        <f>D20-D21</f>
        <v>9.125</v>
      </c>
      <c r="Q20" s="64">
        <f>IF(B20&lt;$B$3,O20*B20/$B$3*24,O20*24)</f>
        <v>35955.12894519799</v>
      </c>
      <c r="S20" s="76"/>
    </row>
    <row r="21" spans="1:22" x14ac:dyDescent="0.25">
      <c r="A21" s="44">
        <f t="shared" ref="A21:A34" si="1">A20+1</f>
        <v>2</v>
      </c>
      <c r="B21" s="81">
        <v>4.9000000000000004</v>
      </c>
      <c r="C21" s="81">
        <v>97.5</v>
      </c>
      <c r="D21" s="82">
        <f t="shared" si="0"/>
        <v>355.875</v>
      </c>
      <c r="E21" s="36">
        <f t="shared" ref="E21:E34" si="2">IF(B21&lt;B$3,($B$3-B21)*B21/$B$3*24*3.6,0)</f>
        <v>394.14219718309863</v>
      </c>
      <c r="F21" s="37">
        <f t="shared" ref="F21:F34" si="3">$B$12-E21</f>
        <v>7390.8578028169013</v>
      </c>
      <c r="G21" s="30">
        <f t="shared" ref="G21:G34" si="4">501.8595+0.007054*F21-9.04456*10^-7*F21^2+4.84154*10^-11*F21^3</f>
        <v>524.13535948785841</v>
      </c>
      <c r="H21" s="43">
        <f t="shared" ref="H21:H34" si="5">(G21+$B$11)/2</f>
        <v>524.43767974392927</v>
      </c>
      <c r="I21" s="36">
        <f t="shared" ref="I21:I34" si="6">IF(B21&lt;$B$7,($B$7-B21)*B21/$B$7*24*3.6,0)</f>
        <v>371.49840000000006</v>
      </c>
      <c r="J21" s="37">
        <f t="shared" ref="J21:J34" si="7">$B$16+I21</f>
        <v>1927.4983999999999</v>
      </c>
      <c r="K21" s="30">
        <f t="shared" ref="K21:K33" si="8">0.00293595798661*J21+516.681207587491-$B$4</f>
        <v>451.34026190914904</v>
      </c>
      <c r="L21" s="43">
        <f t="shared" ref="L21:L34" si="9">(K21+$B$15)/2</f>
        <v>441.29513095457452</v>
      </c>
      <c r="M21" s="35">
        <f t="shared" ref="M21:M34" si="10">H21-L21</f>
        <v>83.142548789354748</v>
      </c>
      <c r="N21" s="30">
        <f t="shared" ref="N21:N34" si="11">M21-$B$5</f>
        <v>73.142548789354748</v>
      </c>
      <c r="O21" s="58">
        <f t="shared" ref="O21:O34" si="12">9.81*N21*$B$3*$B$8</f>
        <v>44067.00690854156</v>
      </c>
      <c r="P21" s="30">
        <f t="shared" ref="P21:P34" si="13">D21-D22</f>
        <v>9.125</v>
      </c>
      <c r="Q21" s="60">
        <f t="shared" ref="Q21:Q34" si="14">IF(B21&lt;$B$3,O21*B21/$B$3*24,O21*24)</f>
        <v>72989.859330204054</v>
      </c>
      <c r="R21" s="73">
        <f>(Q20+Q21)/2*P20</f>
        <v>497061.50900652184</v>
      </c>
      <c r="S21" s="74">
        <f>R21*$B$6</f>
        <v>34794.305630456533</v>
      </c>
      <c r="T21" s="3"/>
      <c r="U21" s="3"/>
      <c r="V21" s="3"/>
    </row>
    <row r="22" spans="1:22" x14ac:dyDescent="0.25">
      <c r="A22" s="44">
        <f t="shared" si="1"/>
        <v>3</v>
      </c>
      <c r="B22" s="81">
        <v>6</v>
      </c>
      <c r="C22" s="81">
        <v>95</v>
      </c>
      <c r="D22" s="82">
        <f t="shared" si="0"/>
        <v>346.75</v>
      </c>
      <c r="E22" s="36">
        <f t="shared" si="2"/>
        <v>474.59154929577466</v>
      </c>
      <c r="F22" s="37">
        <f t="shared" si="3"/>
        <v>7310.4084507042253</v>
      </c>
      <c r="G22" s="30">
        <f t="shared" si="4"/>
        <v>524.00621055764634</v>
      </c>
      <c r="H22" s="43">
        <f t="shared" si="5"/>
        <v>524.37310527882323</v>
      </c>
      <c r="I22" s="36">
        <f t="shared" si="6"/>
        <v>440.64</v>
      </c>
      <c r="J22" s="37">
        <f t="shared" si="7"/>
        <v>1996.6399999999999</v>
      </c>
      <c r="K22" s="30">
        <f t="shared" si="8"/>
        <v>451.543258741876</v>
      </c>
      <c r="L22" s="43">
        <f t="shared" si="9"/>
        <v>441.396629370938</v>
      </c>
      <c r="M22" s="35">
        <f t="shared" si="10"/>
        <v>82.976475907885231</v>
      </c>
      <c r="N22" s="30">
        <f t="shared" si="11"/>
        <v>72.976475907885231</v>
      </c>
      <c r="O22" s="58">
        <f t="shared" si="12"/>
        <v>43966.951127929984</v>
      </c>
      <c r="P22" s="30">
        <f t="shared" si="13"/>
        <v>18.25</v>
      </c>
      <c r="Q22" s="60">
        <f t="shared" si="14"/>
        <v>89172.407921435457</v>
      </c>
      <c r="R22" s="73">
        <f t="shared" ref="R22:R34" si="15">(Q21+Q22)/2*P21</f>
        <v>739865.34433560527</v>
      </c>
      <c r="S22" s="74">
        <f t="shared" ref="S22:S34" si="16">R22*$B$6</f>
        <v>51790.574103492378</v>
      </c>
      <c r="T22" s="3"/>
      <c r="U22" s="3"/>
      <c r="V22" s="3"/>
    </row>
    <row r="23" spans="1:22" x14ac:dyDescent="0.25">
      <c r="A23" s="44">
        <f t="shared" si="1"/>
        <v>4</v>
      </c>
      <c r="B23" s="81">
        <v>7.3</v>
      </c>
      <c r="C23" s="81">
        <v>90</v>
      </c>
      <c r="D23" s="82">
        <f t="shared" si="0"/>
        <v>328.5</v>
      </c>
      <c r="E23" s="36">
        <f t="shared" si="2"/>
        <v>565.87132394366199</v>
      </c>
      <c r="F23" s="37">
        <f t="shared" si="3"/>
        <v>7219.128676056338</v>
      </c>
      <c r="G23" s="30">
        <f t="shared" si="4"/>
        <v>523.86213341927328</v>
      </c>
      <c r="H23" s="43">
        <f t="shared" si="5"/>
        <v>524.30106670963664</v>
      </c>
      <c r="I23" s="36">
        <f t="shared" si="6"/>
        <v>515.61360000000002</v>
      </c>
      <c r="J23" s="37">
        <f t="shared" si="7"/>
        <v>2071.6136000000001</v>
      </c>
      <c r="K23" s="30">
        <f t="shared" si="8"/>
        <v>451.76337808158098</v>
      </c>
      <c r="L23" s="43">
        <f t="shared" si="9"/>
        <v>441.50668904079049</v>
      </c>
      <c r="M23" s="35">
        <f t="shared" si="10"/>
        <v>82.794377668846153</v>
      </c>
      <c r="N23" s="30">
        <f t="shared" si="11"/>
        <v>72.794377668846153</v>
      </c>
      <c r="O23" s="58">
        <f t="shared" si="12"/>
        <v>43857.24037146075</v>
      </c>
      <c r="P23" s="30">
        <f t="shared" si="13"/>
        <v>54.75</v>
      </c>
      <c r="Q23" s="60">
        <f t="shared" si="14"/>
        <v>108222.37342366087</v>
      </c>
      <c r="R23" s="73">
        <f t="shared" si="15"/>
        <v>1801227.379774004</v>
      </c>
      <c r="S23" s="74">
        <f t="shared" si="16"/>
        <v>126085.91658418029</v>
      </c>
      <c r="T23" s="3"/>
      <c r="U23" s="3"/>
      <c r="V23" s="3"/>
    </row>
    <row r="24" spans="1:22" x14ac:dyDescent="0.25">
      <c r="A24" s="44">
        <f t="shared" si="1"/>
        <v>5</v>
      </c>
      <c r="B24" s="81">
        <v>12.6</v>
      </c>
      <c r="C24" s="81">
        <v>75</v>
      </c>
      <c r="D24" s="82">
        <f t="shared" si="0"/>
        <v>273.75</v>
      </c>
      <c r="E24" s="36">
        <f t="shared" si="2"/>
        <v>895.44473239436604</v>
      </c>
      <c r="F24" s="37">
        <f t="shared" si="3"/>
        <v>6889.5552676056341</v>
      </c>
      <c r="G24" s="30">
        <f t="shared" si="4"/>
        <v>523.36031667966461</v>
      </c>
      <c r="H24" s="43">
        <f t="shared" si="5"/>
        <v>524.05015833983225</v>
      </c>
      <c r="I24" s="36">
        <f t="shared" si="6"/>
        <v>745.71839999999986</v>
      </c>
      <c r="J24" s="37">
        <f t="shared" si="7"/>
        <v>2301.7183999999997</v>
      </c>
      <c r="K24" s="30">
        <f t="shared" si="8"/>
        <v>452.43895610689822</v>
      </c>
      <c r="L24" s="43">
        <f t="shared" si="9"/>
        <v>441.84447805344911</v>
      </c>
      <c r="M24" s="35">
        <f t="shared" si="10"/>
        <v>82.205680286383142</v>
      </c>
      <c r="N24" s="30">
        <f t="shared" si="11"/>
        <v>72.205680286383142</v>
      </c>
      <c r="O24" s="58">
        <f t="shared" si="12"/>
        <v>43502.561295472442</v>
      </c>
      <c r="P24" s="30">
        <f t="shared" si="13"/>
        <v>45.625</v>
      </c>
      <c r="Q24" s="60">
        <f t="shared" si="14"/>
        <v>185284.14839085727</v>
      </c>
      <c r="R24" s="73">
        <f t="shared" si="15"/>
        <v>8034741.0346724344</v>
      </c>
      <c r="S24" s="74">
        <f t="shared" si="16"/>
        <v>562431.87242707051</v>
      </c>
      <c r="T24" s="3"/>
      <c r="U24" s="3"/>
      <c r="V24" s="3"/>
    </row>
    <row r="25" spans="1:22" x14ac:dyDescent="0.25">
      <c r="A25" s="44">
        <f t="shared" si="1"/>
        <v>6</v>
      </c>
      <c r="B25" s="81">
        <v>15.6</v>
      </c>
      <c r="C25" s="81">
        <v>62.5</v>
      </c>
      <c r="D25" s="82">
        <f t="shared" si="0"/>
        <v>228.125</v>
      </c>
      <c r="E25" s="36">
        <f t="shared" si="2"/>
        <v>1051.6948732394367</v>
      </c>
      <c r="F25" s="37">
        <f t="shared" si="3"/>
        <v>6733.3051267605633</v>
      </c>
      <c r="G25" s="30">
        <f t="shared" si="4"/>
        <v>523.13034778971746</v>
      </c>
      <c r="H25" s="43">
        <f t="shared" si="5"/>
        <v>523.93517389485874</v>
      </c>
      <c r="I25" s="36">
        <f t="shared" si="6"/>
        <v>822.18240000000003</v>
      </c>
      <c r="J25" s="37">
        <f t="shared" si="7"/>
        <v>2378.1824000000001</v>
      </c>
      <c r="K25" s="30">
        <f t="shared" si="8"/>
        <v>452.66345119838638</v>
      </c>
      <c r="L25" s="43">
        <f t="shared" si="9"/>
        <v>441.95672559919319</v>
      </c>
      <c r="M25" s="35">
        <f t="shared" si="10"/>
        <v>81.978448295665544</v>
      </c>
      <c r="N25" s="30">
        <f t="shared" si="11"/>
        <v>71.978448295665544</v>
      </c>
      <c r="O25" s="58">
        <f t="shared" si="12"/>
        <v>43365.658304388111</v>
      </c>
      <c r="P25" s="30">
        <f t="shared" si="13"/>
        <v>45.625</v>
      </c>
      <c r="Q25" s="60">
        <f t="shared" si="14"/>
        <v>228677.49956567478</v>
      </c>
      <c r="R25" s="73">
        <f t="shared" si="15"/>
        <v>9443500.094008388</v>
      </c>
      <c r="S25" s="74">
        <f t="shared" si="16"/>
        <v>661045.00658058724</v>
      </c>
      <c r="T25" s="3"/>
      <c r="U25" s="3"/>
      <c r="V25" s="3"/>
    </row>
    <row r="26" spans="1:22" x14ac:dyDescent="0.25">
      <c r="A26" s="44">
        <f t="shared" si="1"/>
        <v>7</v>
      </c>
      <c r="B26" s="81">
        <v>17.899999999999999</v>
      </c>
      <c r="C26" s="81">
        <v>50</v>
      </c>
      <c r="D26" s="82">
        <f t="shared" si="0"/>
        <v>182.5</v>
      </c>
      <c r="E26" s="36">
        <f t="shared" si="2"/>
        <v>1156.6526197183098</v>
      </c>
      <c r="F26" s="37">
        <f t="shared" si="3"/>
        <v>6628.3473802816898</v>
      </c>
      <c r="G26" s="30">
        <f t="shared" si="4"/>
        <v>522.97795501655048</v>
      </c>
      <c r="H26" s="43">
        <f t="shared" si="5"/>
        <v>523.8589775082753</v>
      </c>
      <c r="I26" s="36">
        <f t="shared" si="6"/>
        <v>854.47439999999995</v>
      </c>
      <c r="J26" s="37">
        <f t="shared" si="7"/>
        <v>2410.4744000000001</v>
      </c>
      <c r="K26" s="30">
        <f t="shared" si="8"/>
        <v>452.75825915369001</v>
      </c>
      <c r="L26" s="43">
        <f t="shared" si="9"/>
        <v>442.004129576845</v>
      </c>
      <c r="M26" s="35">
        <f t="shared" si="10"/>
        <v>81.854847931430299</v>
      </c>
      <c r="N26" s="30">
        <f t="shared" si="11"/>
        <v>71.854847931430299</v>
      </c>
      <c r="O26" s="58">
        <f t="shared" si="12"/>
        <v>43291.191414803252</v>
      </c>
      <c r="P26" s="30">
        <f t="shared" si="13"/>
        <v>45.625</v>
      </c>
      <c r="Q26" s="60">
        <f t="shared" si="14"/>
        <v>261942.19481407711</v>
      </c>
      <c r="R26" s="73">
        <f t="shared" si="15"/>
        <v>11192261.77803809</v>
      </c>
      <c r="S26" s="74">
        <f t="shared" si="16"/>
        <v>783458.32446266641</v>
      </c>
      <c r="T26" s="3"/>
      <c r="U26" s="3"/>
      <c r="V26" s="3"/>
    </row>
    <row r="27" spans="1:22" x14ac:dyDescent="0.25">
      <c r="A27" s="44">
        <f t="shared" si="1"/>
        <v>8</v>
      </c>
      <c r="B27" s="81">
        <v>20.6</v>
      </c>
      <c r="C27" s="81">
        <v>37.5</v>
      </c>
      <c r="D27" s="82">
        <f t="shared" si="0"/>
        <v>136.875</v>
      </c>
      <c r="E27" s="36">
        <f t="shared" si="2"/>
        <v>1263.4357183098591</v>
      </c>
      <c r="F27" s="37">
        <f t="shared" si="3"/>
        <v>6521.5642816901409</v>
      </c>
      <c r="G27" s="30">
        <f t="shared" si="4"/>
        <v>522.82422780866398</v>
      </c>
      <c r="H27" s="43">
        <f t="shared" si="5"/>
        <v>523.78211390433194</v>
      </c>
      <c r="I27" s="36">
        <f t="shared" si="6"/>
        <v>863.22239999999999</v>
      </c>
      <c r="J27" s="37">
        <f t="shared" si="7"/>
        <v>2419.2224000000001</v>
      </c>
      <c r="K27" s="30">
        <f t="shared" si="8"/>
        <v>452.7839429141568</v>
      </c>
      <c r="L27" s="43">
        <f t="shared" si="9"/>
        <v>442.0169714570784</v>
      </c>
      <c r="M27" s="35">
        <f t="shared" si="10"/>
        <v>81.765142447253538</v>
      </c>
      <c r="N27" s="30">
        <f t="shared" si="11"/>
        <v>71.765142447253538</v>
      </c>
      <c r="O27" s="58">
        <f t="shared" si="12"/>
        <v>43237.145551535126</v>
      </c>
      <c r="P27" s="30">
        <f t="shared" si="13"/>
        <v>45.625</v>
      </c>
      <c r="Q27" s="60">
        <f t="shared" si="14"/>
        <v>301076.68677012628</v>
      </c>
      <c r="R27" s="73">
        <f t="shared" si="15"/>
        <v>12843868.236139638</v>
      </c>
      <c r="S27" s="74">
        <f t="shared" si="16"/>
        <v>899070.77652977477</v>
      </c>
      <c r="T27" s="3"/>
      <c r="U27" s="3"/>
      <c r="V27" s="3"/>
    </row>
    <row r="28" spans="1:22" x14ac:dyDescent="0.25">
      <c r="A28" s="44">
        <f t="shared" si="1"/>
        <v>9</v>
      </c>
      <c r="B28" s="81">
        <v>25.1</v>
      </c>
      <c r="C28" s="81">
        <v>25</v>
      </c>
      <c r="D28" s="82">
        <f t="shared" si="0"/>
        <v>91.25</v>
      </c>
      <c r="E28" s="36">
        <f t="shared" si="2"/>
        <v>1401.9799436619717</v>
      </c>
      <c r="F28" s="37">
        <f t="shared" si="3"/>
        <v>6383.0200563380286</v>
      </c>
      <c r="G28" s="30">
        <f t="shared" si="4"/>
        <v>522.62617825996324</v>
      </c>
      <c r="H28" s="43">
        <f t="shared" si="5"/>
        <v>523.68308912998168</v>
      </c>
      <c r="I28" s="36">
        <f t="shared" si="6"/>
        <v>807.8184</v>
      </c>
      <c r="J28" s="37">
        <f t="shared" si="7"/>
        <v>2363.8184000000001</v>
      </c>
      <c r="K28" s="30">
        <f t="shared" si="8"/>
        <v>452.6212790978667</v>
      </c>
      <c r="L28" s="43">
        <f t="shared" si="9"/>
        <v>441.93563954893335</v>
      </c>
      <c r="M28" s="35">
        <f t="shared" si="10"/>
        <v>81.747449581048329</v>
      </c>
      <c r="N28" s="30">
        <f t="shared" si="11"/>
        <v>71.747449581048329</v>
      </c>
      <c r="O28" s="58">
        <f t="shared" si="12"/>
        <v>43226.485933157019</v>
      </c>
      <c r="P28" s="30">
        <f t="shared" si="13"/>
        <v>27.375</v>
      </c>
      <c r="Q28" s="60">
        <f t="shared" si="14"/>
        <v>366755.42431174358</v>
      </c>
      <c r="R28" s="73">
        <f t="shared" si="15"/>
        <v>15234920.034055155</v>
      </c>
      <c r="S28" s="74">
        <f t="shared" si="16"/>
        <v>1066444.4023838609</v>
      </c>
      <c r="T28" s="3"/>
      <c r="U28" s="3"/>
      <c r="V28" s="3"/>
    </row>
    <row r="29" spans="1:22" x14ac:dyDescent="0.25">
      <c r="A29" s="44">
        <f t="shared" si="1"/>
        <v>10</v>
      </c>
      <c r="B29" s="81">
        <v>28.2</v>
      </c>
      <c r="C29" s="81">
        <v>17.5</v>
      </c>
      <c r="D29" s="82">
        <f t="shared" si="0"/>
        <v>63.875</v>
      </c>
      <c r="E29" s="36">
        <f t="shared" si="2"/>
        <v>1468.7513239436616</v>
      </c>
      <c r="F29" s="37">
        <f t="shared" si="3"/>
        <v>6316.2486760563388</v>
      </c>
      <c r="G29" s="30">
        <f t="shared" si="4"/>
        <v>522.53108649152716</v>
      </c>
      <c r="H29" s="43">
        <f t="shared" si="5"/>
        <v>523.63554324576353</v>
      </c>
      <c r="I29" s="36">
        <f t="shared" si="6"/>
        <v>718.76159999999993</v>
      </c>
      <c r="J29" s="37">
        <f t="shared" si="7"/>
        <v>2274.7615999999998</v>
      </c>
      <c r="K29" s="30">
        <f t="shared" si="8"/>
        <v>452.35981207464476</v>
      </c>
      <c r="L29" s="43">
        <f t="shared" si="9"/>
        <v>441.80490603732238</v>
      </c>
      <c r="M29" s="35">
        <f t="shared" si="10"/>
        <v>81.830637208441146</v>
      </c>
      <c r="N29" s="30">
        <f t="shared" si="11"/>
        <v>71.830637208441146</v>
      </c>
      <c r="O29" s="58">
        <f t="shared" si="12"/>
        <v>43276.604910574417</v>
      </c>
      <c r="P29" s="30">
        <f t="shared" si="13"/>
        <v>27.375</v>
      </c>
      <c r="Q29" s="60">
        <f t="shared" si="14"/>
        <v>412529.6648377009</v>
      </c>
      <c r="R29" s="73">
        <f t="shared" si="15"/>
        <v>10666464.657733021</v>
      </c>
      <c r="S29" s="74">
        <f t="shared" si="16"/>
        <v>746652.52604131156</v>
      </c>
      <c r="T29" s="3"/>
      <c r="U29" s="3"/>
      <c r="V29" s="3"/>
    </row>
    <row r="30" spans="1:22" x14ac:dyDescent="0.25">
      <c r="A30" s="44">
        <f t="shared" si="1"/>
        <v>11</v>
      </c>
      <c r="B30" s="81">
        <v>35.299999999999997</v>
      </c>
      <c r="C30" s="81">
        <v>10</v>
      </c>
      <c r="D30" s="82">
        <f t="shared" si="0"/>
        <v>36.5</v>
      </c>
      <c r="E30" s="36">
        <f t="shared" si="2"/>
        <v>1533.5513239436621</v>
      </c>
      <c r="F30" s="37">
        <f t="shared" si="3"/>
        <v>6251.4486760563377</v>
      </c>
      <c r="G30" s="30">
        <f t="shared" si="4"/>
        <v>522.43891351069237</v>
      </c>
      <c r="H30" s="43">
        <f t="shared" si="5"/>
        <v>523.58945675534619</v>
      </c>
      <c r="I30" s="36">
        <f t="shared" si="6"/>
        <v>358.3656000000002</v>
      </c>
      <c r="J30" s="37">
        <f t="shared" si="7"/>
        <v>1914.3656000000001</v>
      </c>
      <c r="K30" s="30">
        <f t="shared" si="8"/>
        <v>451.30170456010251</v>
      </c>
      <c r="L30" s="43">
        <f t="shared" si="9"/>
        <v>441.27585228005125</v>
      </c>
      <c r="M30" s="35">
        <f t="shared" si="10"/>
        <v>82.313604475294937</v>
      </c>
      <c r="N30" s="30">
        <f t="shared" si="11"/>
        <v>72.313604475294937</v>
      </c>
      <c r="O30" s="58">
        <f t="shared" si="12"/>
        <v>43567.583584920845</v>
      </c>
      <c r="P30" s="30">
        <f t="shared" si="13"/>
        <v>18.25</v>
      </c>
      <c r="Q30" s="60">
        <f t="shared" si="14"/>
        <v>519865.58891753433</v>
      </c>
      <c r="R30" s="73">
        <f t="shared" si="15"/>
        <v>12762160.035774782</v>
      </c>
      <c r="S30" s="74">
        <f t="shared" si="16"/>
        <v>893351.20250423485</v>
      </c>
      <c r="T30" s="3"/>
      <c r="U30" s="3"/>
      <c r="V30" s="3"/>
    </row>
    <row r="31" spans="1:22" x14ac:dyDescent="0.25">
      <c r="A31" s="44">
        <f t="shared" si="1"/>
        <v>12</v>
      </c>
      <c r="B31" s="81">
        <v>44.4</v>
      </c>
      <c r="C31" s="81">
        <v>5</v>
      </c>
      <c r="D31" s="82">
        <f t="shared" si="0"/>
        <v>18.25</v>
      </c>
      <c r="E31" s="36">
        <f t="shared" si="2"/>
        <v>1437.2092394366198</v>
      </c>
      <c r="F31" s="37">
        <f t="shared" si="3"/>
        <v>6347.79076056338</v>
      </c>
      <c r="G31" s="30">
        <f t="shared" si="4"/>
        <v>522.57598713890161</v>
      </c>
      <c r="H31" s="43">
        <f t="shared" si="5"/>
        <v>523.65799356945081</v>
      </c>
      <c r="I31" s="36">
        <f t="shared" si="6"/>
        <v>0</v>
      </c>
      <c r="J31" s="37">
        <f t="shared" si="7"/>
        <v>1556</v>
      </c>
      <c r="K31" s="30">
        <f t="shared" si="8"/>
        <v>450.24955821465619</v>
      </c>
      <c r="L31" s="43">
        <f t="shared" si="9"/>
        <v>440.7497791073281</v>
      </c>
      <c r="M31" s="35">
        <f t="shared" si="10"/>
        <v>82.908214462122714</v>
      </c>
      <c r="N31" s="30">
        <f t="shared" si="11"/>
        <v>72.908214462122714</v>
      </c>
      <c r="O31" s="58">
        <f t="shared" si="12"/>
        <v>43925.824893586323</v>
      </c>
      <c r="P31" s="30">
        <f t="shared" si="13"/>
        <v>7.3000000000000007</v>
      </c>
      <c r="Q31" s="60">
        <f t="shared" si="14"/>
        <v>659258.57755782502</v>
      </c>
      <c r="R31" s="73">
        <f t="shared" si="15"/>
        <v>10759508.019087654</v>
      </c>
      <c r="S31" s="74">
        <f t="shared" si="16"/>
        <v>753165.56133613584</v>
      </c>
      <c r="T31" s="3"/>
      <c r="U31" s="3"/>
      <c r="V31" s="3"/>
    </row>
    <row r="32" spans="1:22" x14ac:dyDescent="0.25">
      <c r="A32" s="44">
        <f t="shared" si="1"/>
        <v>13</v>
      </c>
      <c r="B32" s="81">
        <v>52.8</v>
      </c>
      <c r="C32" s="81">
        <v>3</v>
      </c>
      <c r="D32" s="82">
        <f t="shared" si="0"/>
        <v>10.95</v>
      </c>
      <c r="E32" s="36">
        <f t="shared" si="2"/>
        <v>1169.3935774647891</v>
      </c>
      <c r="F32" s="37">
        <f t="shared" si="3"/>
        <v>6615.6064225352111</v>
      </c>
      <c r="G32" s="30">
        <f t="shared" si="4"/>
        <v>522.9595499600523</v>
      </c>
      <c r="H32" s="43">
        <f t="shared" si="5"/>
        <v>523.84977498002615</v>
      </c>
      <c r="I32" s="36">
        <f t="shared" si="6"/>
        <v>0</v>
      </c>
      <c r="J32" s="37">
        <f t="shared" si="7"/>
        <v>1556</v>
      </c>
      <c r="K32" s="30">
        <f t="shared" si="8"/>
        <v>450.24955821465619</v>
      </c>
      <c r="L32" s="43">
        <f t="shared" si="9"/>
        <v>440.7497791073281</v>
      </c>
      <c r="M32" s="35">
        <f t="shared" si="10"/>
        <v>83.099995872698059</v>
      </c>
      <c r="N32" s="30">
        <f t="shared" si="11"/>
        <v>73.099995872698059</v>
      </c>
      <c r="O32" s="58">
        <f t="shared" si="12"/>
        <v>44041.369578378377</v>
      </c>
      <c r="P32" s="30">
        <f t="shared" si="13"/>
        <v>7.2999999999999989</v>
      </c>
      <c r="Q32" s="60">
        <f t="shared" si="14"/>
        <v>786045.40182705736</v>
      </c>
      <c r="R32" s="73">
        <f t="shared" si="15"/>
        <v>5275359.5247548213</v>
      </c>
      <c r="S32" s="74">
        <f t="shared" si="16"/>
        <v>369275.1667328375</v>
      </c>
      <c r="T32" s="3"/>
      <c r="U32" s="3"/>
      <c r="V32" s="3"/>
    </row>
    <row r="33" spans="1:22" x14ac:dyDescent="0.25">
      <c r="A33" s="44">
        <f t="shared" si="1"/>
        <v>14</v>
      </c>
      <c r="B33" s="81">
        <v>97.2</v>
      </c>
      <c r="C33" s="81">
        <v>1</v>
      </c>
      <c r="D33" s="82">
        <f t="shared" si="0"/>
        <v>3.65</v>
      </c>
      <c r="E33" s="36">
        <f t="shared" si="2"/>
        <v>0</v>
      </c>
      <c r="F33" s="37">
        <f t="shared" si="3"/>
        <v>7785</v>
      </c>
      <c r="G33" s="30">
        <f t="shared" si="4"/>
        <v>524.80255412375902</v>
      </c>
      <c r="H33" s="43">
        <f t="shared" si="5"/>
        <v>524.77127706187957</v>
      </c>
      <c r="I33" s="36">
        <f t="shared" si="6"/>
        <v>0</v>
      </c>
      <c r="J33" s="37">
        <f t="shared" si="7"/>
        <v>1556</v>
      </c>
      <c r="K33" s="30">
        <f t="shared" si="8"/>
        <v>450.24955821465619</v>
      </c>
      <c r="L33" s="43">
        <f t="shared" si="9"/>
        <v>440.7497791073281</v>
      </c>
      <c r="M33" s="35">
        <f t="shared" si="10"/>
        <v>84.021497954551478</v>
      </c>
      <c r="N33" s="30">
        <f t="shared" si="11"/>
        <v>74.021497954551478</v>
      </c>
      <c r="O33" s="58">
        <f t="shared" si="12"/>
        <v>44596.557212380831</v>
      </c>
      <c r="P33" s="30">
        <f t="shared" si="13"/>
        <v>2.5549999999999997</v>
      </c>
      <c r="Q33" s="60">
        <f t="shared" si="14"/>
        <v>1070317.3730971399</v>
      </c>
      <c r="R33" s="73">
        <f t="shared" si="15"/>
        <v>6775724.1284733191</v>
      </c>
      <c r="S33" s="74">
        <f t="shared" si="16"/>
        <v>474300.68899313238</v>
      </c>
      <c r="T33" s="3"/>
      <c r="U33" s="3"/>
      <c r="V33" s="3"/>
    </row>
    <row r="34" spans="1:22" ht="13.8" thickBot="1" x14ac:dyDescent="0.3">
      <c r="A34" s="45">
        <f t="shared" si="1"/>
        <v>15</v>
      </c>
      <c r="B34" s="83">
        <v>146.4</v>
      </c>
      <c r="C34" s="83">
        <v>0.3</v>
      </c>
      <c r="D34" s="84">
        <f>C34*3.65</f>
        <v>1.095</v>
      </c>
      <c r="E34" s="54">
        <f t="shared" si="2"/>
        <v>0</v>
      </c>
      <c r="F34" s="55">
        <f t="shared" si="3"/>
        <v>7785</v>
      </c>
      <c r="G34" s="56">
        <f t="shared" si="4"/>
        <v>524.80255412375902</v>
      </c>
      <c r="H34" s="57">
        <f t="shared" si="5"/>
        <v>524.77127706187957</v>
      </c>
      <c r="I34" s="54">
        <f t="shared" si="6"/>
        <v>0</v>
      </c>
      <c r="J34" s="55">
        <f t="shared" si="7"/>
        <v>1556</v>
      </c>
      <c r="K34" s="56">
        <f>0.00293595798661*J34+516.681207587491-$B$4</f>
        <v>450.24955821465619</v>
      </c>
      <c r="L34" s="57">
        <f t="shared" si="9"/>
        <v>440.7497791073281</v>
      </c>
      <c r="M34" s="65">
        <f t="shared" si="10"/>
        <v>84.021497954551478</v>
      </c>
      <c r="N34" s="56">
        <f t="shared" si="11"/>
        <v>74.021497954551478</v>
      </c>
      <c r="O34" s="66">
        <f t="shared" si="12"/>
        <v>44596.557212380831</v>
      </c>
      <c r="P34" s="56">
        <f t="shared" si="13"/>
        <v>1.095</v>
      </c>
      <c r="Q34" s="67">
        <f t="shared" si="14"/>
        <v>1070317.3730971399</v>
      </c>
      <c r="R34" s="73">
        <f t="shared" si="15"/>
        <v>2734660.888263192</v>
      </c>
      <c r="S34" s="74">
        <f t="shared" si="16"/>
        <v>191426.26217842347</v>
      </c>
      <c r="T34" s="3"/>
      <c r="U34" s="3"/>
      <c r="V34" s="3"/>
    </row>
    <row r="35" spans="1:22" ht="13.8" x14ac:dyDescent="0.25">
      <c r="E35"/>
      <c r="F35"/>
      <c r="G35"/>
      <c r="H35"/>
      <c r="I35"/>
      <c r="J35"/>
      <c r="K35"/>
      <c r="L35"/>
      <c r="M35"/>
      <c r="N35"/>
      <c r="O35"/>
      <c r="P35" s="59">
        <f>SUM(P20:P34)</f>
        <v>365.00000000000006</v>
      </c>
      <c r="Q35" s="61">
        <f>Q34</f>
        <v>1070317.3730971399</v>
      </c>
      <c r="R35"/>
      <c r="S35" s="75">
        <f>SUM(S21:S34)</f>
        <v>7613292.586488164</v>
      </c>
      <c r="T35" s="3" t="s">
        <v>85</v>
      </c>
      <c r="U35" s="3"/>
      <c r="V35" s="3"/>
    </row>
    <row r="36" spans="1:22" x14ac:dyDescent="0.25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22" x14ac:dyDescent="0.25">
      <c r="F37" s="8"/>
      <c r="G37" s="7"/>
      <c r="L37" s="8"/>
      <c r="M37" s="7"/>
    </row>
    <row r="38" spans="1:22" x14ac:dyDescent="0.25">
      <c r="E38" s="6"/>
      <c r="F38" s="5"/>
    </row>
    <row r="40" spans="1:22" x14ac:dyDescent="0.25">
      <c r="A40" s="86" t="s">
        <v>36</v>
      </c>
      <c r="B40" s="86"/>
      <c r="C40" s="85" t="s">
        <v>35</v>
      </c>
      <c r="D40" s="85"/>
      <c r="E40" s="85"/>
      <c r="F40" s="85"/>
      <c r="G40" s="85"/>
      <c r="H40" s="85"/>
      <c r="I40" s="85"/>
      <c r="J40" s="85"/>
    </row>
    <row r="41" spans="1:22" x14ac:dyDescent="0.25">
      <c r="A41" s="86" t="s">
        <v>34</v>
      </c>
      <c r="B41" s="86"/>
      <c r="C41" s="85" t="s">
        <v>33</v>
      </c>
      <c r="D41" s="85"/>
      <c r="E41" s="85"/>
      <c r="F41" s="85"/>
      <c r="G41" s="85"/>
      <c r="H41" s="85"/>
      <c r="I41" s="85"/>
      <c r="J41" s="85"/>
    </row>
    <row r="42" spans="1:22" x14ac:dyDescent="0.25">
      <c r="A42" s="86" t="s">
        <v>32</v>
      </c>
      <c r="B42" s="86"/>
      <c r="C42" s="85" t="s">
        <v>31</v>
      </c>
      <c r="D42" s="85"/>
      <c r="E42" s="85"/>
      <c r="F42" s="85"/>
      <c r="G42" s="85"/>
      <c r="H42" s="85"/>
      <c r="I42" s="85"/>
      <c r="J42" s="85"/>
    </row>
    <row r="43" spans="1:22" x14ac:dyDescent="0.25">
      <c r="A43" s="86" t="s">
        <v>30</v>
      </c>
      <c r="B43" s="86"/>
      <c r="C43" s="85" t="s">
        <v>29</v>
      </c>
      <c r="D43" s="85"/>
      <c r="E43" s="85"/>
      <c r="F43" s="85"/>
      <c r="G43" s="85"/>
      <c r="H43" s="85"/>
      <c r="I43" s="85"/>
      <c r="J43" s="85"/>
    </row>
    <row r="44" spans="1:22" x14ac:dyDescent="0.25">
      <c r="A44" s="86" t="s">
        <v>28</v>
      </c>
      <c r="B44" s="86"/>
      <c r="C44" s="85" t="s">
        <v>27</v>
      </c>
      <c r="D44" s="85"/>
      <c r="E44" s="85"/>
      <c r="F44" s="85"/>
      <c r="G44" s="85"/>
      <c r="H44" s="85"/>
      <c r="I44" s="85"/>
      <c r="J44" s="85"/>
    </row>
    <row r="45" spans="1:22" x14ac:dyDescent="0.25">
      <c r="A45" s="86" t="s">
        <v>26</v>
      </c>
      <c r="B45" s="86"/>
      <c r="C45" s="85" t="s">
        <v>25</v>
      </c>
      <c r="D45" s="85"/>
      <c r="E45" s="85"/>
      <c r="F45" s="85"/>
      <c r="G45" s="85"/>
      <c r="H45" s="85"/>
      <c r="I45" s="85"/>
      <c r="J45" s="85"/>
    </row>
    <row r="46" spans="1:22" x14ac:dyDescent="0.25">
      <c r="A46" s="86" t="s">
        <v>24</v>
      </c>
      <c r="B46" s="86"/>
      <c r="C46" s="85" t="s">
        <v>23</v>
      </c>
      <c r="D46" s="85"/>
      <c r="E46" s="85"/>
      <c r="F46" s="85"/>
      <c r="G46" s="85"/>
      <c r="H46" s="85"/>
      <c r="I46" s="85"/>
      <c r="J46" s="85"/>
    </row>
    <row r="47" spans="1:22" x14ac:dyDescent="0.25">
      <c r="A47" s="86" t="s">
        <v>22</v>
      </c>
      <c r="B47" s="86"/>
      <c r="C47" s="85" t="s">
        <v>21</v>
      </c>
      <c r="D47" s="85"/>
      <c r="E47" s="85"/>
      <c r="F47" s="85"/>
      <c r="G47" s="85"/>
      <c r="H47" s="85"/>
      <c r="I47" s="85"/>
      <c r="J47" s="85"/>
    </row>
    <row r="48" spans="1:22" x14ac:dyDescent="0.25">
      <c r="A48" s="86" t="s">
        <v>20</v>
      </c>
      <c r="B48" s="86"/>
      <c r="C48" s="85" t="s">
        <v>19</v>
      </c>
      <c r="D48" s="85"/>
      <c r="E48" s="85"/>
      <c r="F48" s="85"/>
      <c r="G48" s="85"/>
      <c r="H48" s="85"/>
      <c r="I48" s="85"/>
      <c r="J48" s="85"/>
    </row>
    <row r="49" spans="1:10" x14ac:dyDescent="0.25">
      <c r="A49" s="86" t="s">
        <v>18</v>
      </c>
      <c r="B49" s="86"/>
      <c r="C49" s="85" t="s">
        <v>17</v>
      </c>
      <c r="D49" s="85"/>
      <c r="E49" s="85"/>
      <c r="F49" s="85"/>
      <c r="G49" s="85"/>
      <c r="H49" s="85"/>
      <c r="I49" s="85"/>
      <c r="J49" s="85"/>
    </row>
    <row r="50" spans="1:10" x14ac:dyDescent="0.25">
      <c r="A50" s="86" t="s">
        <v>16</v>
      </c>
      <c r="B50" s="86"/>
      <c r="C50" s="85" t="s">
        <v>15</v>
      </c>
      <c r="D50" s="85"/>
      <c r="E50" s="85"/>
      <c r="F50" s="85"/>
      <c r="G50" s="85"/>
      <c r="H50" s="85"/>
      <c r="I50" s="85"/>
      <c r="J50" s="85"/>
    </row>
    <row r="51" spans="1:10" x14ac:dyDescent="0.25">
      <c r="A51" s="86" t="s">
        <v>14</v>
      </c>
      <c r="B51" s="86"/>
      <c r="C51" s="85" t="s">
        <v>13</v>
      </c>
      <c r="D51" s="85"/>
      <c r="E51" s="85"/>
      <c r="F51" s="85"/>
      <c r="G51" s="85"/>
      <c r="H51" s="85"/>
      <c r="I51" s="85"/>
      <c r="J51" s="85"/>
    </row>
    <row r="52" spans="1:10" x14ac:dyDescent="0.25">
      <c r="A52" s="86" t="s">
        <v>12</v>
      </c>
      <c r="B52" s="86" t="s">
        <v>11</v>
      </c>
      <c r="C52" s="85" t="s">
        <v>10</v>
      </c>
      <c r="D52" s="85"/>
      <c r="E52" s="85"/>
      <c r="F52" s="85"/>
      <c r="G52" s="85"/>
      <c r="H52" s="85"/>
      <c r="I52" s="85"/>
      <c r="J52" s="85"/>
    </row>
    <row r="53" spans="1:10" ht="13.8" x14ac:dyDescent="0.3">
      <c r="A53" s="86" t="s">
        <v>9</v>
      </c>
      <c r="B53" s="86"/>
      <c r="C53" s="85" t="s">
        <v>8</v>
      </c>
      <c r="D53" s="85"/>
      <c r="E53" s="85"/>
      <c r="F53" s="85"/>
      <c r="G53" s="85"/>
      <c r="H53" s="85"/>
      <c r="I53" s="85"/>
      <c r="J53" s="85"/>
    </row>
    <row r="54" spans="1:10" x14ac:dyDescent="0.25">
      <c r="A54" s="86" t="s">
        <v>7</v>
      </c>
      <c r="B54" s="86"/>
      <c r="C54" s="85" t="s">
        <v>6</v>
      </c>
      <c r="D54" s="85"/>
      <c r="E54" s="85"/>
      <c r="F54" s="85"/>
      <c r="G54" s="85"/>
      <c r="H54" s="85"/>
      <c r="I54" s="85"/>
      <c r="J54" s="85"/>
    </row>
    <row r="55" spans="1:10" x14ac:dyDescent="0.25">
      <c r="A55" s="86" t="s">
        <v>5</v>
      </c>
      <c r="B55" s="86"/>
      <c r="C55" s="85" t="s">
        <v>4</v>
      </c>
      <c r="D55" s="85"/>
      <c r="E55" s="85"/>
      <c r="F55" s="85"/>
      <c r="G55" s="85"/>
      <c r="H55" s="85"/>
      <c r="I55" s="85"/>
      <c r="J55" s="85"/>
    </row>
    <row r="56" spans="1:10" x14ac:dyDescent="0.25">
      <c r="A56" s="86" t="s">
        <v>3</v>
      </c>
      <c r="B56" s="86"/>
      <c r="C56" s="85" t="s">
        <v>2</v>
      </c>
      <c r="D56" s="85"/>
      <c r="E56" s="85"/>
      <c r="F56" s="85"/>
      <c r="G56" s="85"/>
      <c r="H56" s="85"/>
      <c r="I56" s="85"/>
      <c r="J56" s="85"/>
    </row>
    <row r="57" spans="1:10" x14ac:dyDescent="0.25">
      <c r="A57" s="86" t="s">
        <v>1</v>
      </c>
      <c r="B57" s="86"/>
      <c r="C57" s="85" t="s">
        <v>0</v>
      </c>
      <c r="D57" s="85"/>
      <c r="E57" s="85"/>
      <c r="F57" s="85"/>
      <c r="G57" s="85"/>
      <c r="H57" s="85"/>
      <c r="I57" s="85"/>
      <c r="J57" s="85"/>
    </row>
  </sheetData>
  <mergeCells count="47">
    <mergeCell ref="A40:B40"/>
    <mergeCell ref="C40:J40"/>
    <mergeCell ref="G2:Q2"/>
    <mergeCell ref="H3:P3"/>
    <mergeCell ref="H4:P4"/>
    <mergeCell ref="H6:P6"/>
    <mergeCell ref="H7:P7"/>
    <mergeCell ref="A10:C10"/>
    <mergeCell ref="A14:C14"/>
    <mergeCell ref="A18:D18"/>
    <mergeCell ref="E18:H18"/>
    <mergeCell ref="I18:L18"/>
    <mergeCell ref="M18:S18"/>
    <mergeCell ref="A41:B41"/>
    <mergeCell ref="C41:J41"/>
    <mergeCell ref="A42:B42"/>
    <mergeCell ref="C42:J42"/>
    <mergeCell ref="A43:B43"/>
    <mergeCell ref="C43:J43"/>
    <mergeCell ref="A44:B44"/>
    <mergeCell ref="C44:J44"/>
    <mergeCell ref="A45:B45"/>
    <mergeCell ref="C45:J45"/>
    <mergeCell ref="A46:B46"/>
    <mergeCell ref="C46:J46"/>
    <mergeCell ref="A47:B47"/>
    <mergeCell ref="C47:J47"/>
    <mergeCell ref="A48:B48"/>
    <mergeCell ref="C48:J48"/>
    <mergeCell ref="A49:B49"/>
    <mergeCell ref="C49:J49"/>
    <mergeCell ref="A50:B50"/>
    <mergeCell ref="C50:J50"/>
    <mergeCell ref="A51:B51"/>
    <mergeCell ref="C51:J51"/>
    <mergeCell ref="A52:B52"/>
    <mergeCell ref="C52:J52"/>
    <mergeCell ref="A56:B56"/>
    <mergeCell ref="C56:J56"/>
    <mergeCell ref="A57:B57"/>
    <mergeCell ref="C57:J57"/>
    <mergeCell ref="A53:B53"/>
    <mergeCell ref="C53:J53"/>
    <mergeCell ref="A54:B54"/>
    <mergeCell ref="C54:J54"/>
    <mergeCell ref="A55:B55"/>
    <mergeCell ref="C55:J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Mean</vt:lpstr>
      <vt:lpstr>Dry</vt:lpstr>
      <vt:lpstr>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2021-11-18T08:58:36Z</dcterms:created>
  <dcterms:modified xsi:type="dcterms:W3CDTF">2021-11-24T09:05:05Z</dcterms:modified>
</cp:coreProperties>
</file>