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wb393438\OneDrive - WBG\EHCVM2\questionnaires\"/>
    </mc:Choice>
  </mc:AlternateContent>
  <xr:revisionPtr revIDLastSave="2" documentId="8_{48C333CD-4F5D-40C2-A98E-4D9AA7B291D7}" xr6:coauthVersionLast="45" xr6:coauthVersionMax="45" xr10:uidLastSave="{B93C9BA4-0A56-4749-BBC9-B5768ACEC896}"/>
  <bookViews>
    <workbookView xWindow="-12690" yWindow="1000" windowWidth="19220" windowHeight="5100" firstSheet="8" activeTab="12" xr2:uid="{00000000-000D-0000-FFFF-FFFF00000000}"/>
  </bookViews>
  <sheets>
    <sheet name="couvert" sheetId="73" r:id="rId1"/>
    <sheet name="TOC" sheetId="182" r:id="rId2"/>
    <sheet name="S0_Cont" sheetId="116" r:id="rId3"/>
    <sheet name="S01_Demo" sheetId="199" r:id="rId4"/>
    <sheet name="S02_Educ" sheetId="124" r:id="rId5"/>
    <sheet name="S03_Sante" sheetId="125" r:id="rId6"/>
    <sheet name="S04_Emploi_A" sheetId="185" r:id="rId7"/>
    <sheet name="S04_Emploi_B" sheetId="186" r:id="rId8"/>
    <sheet name="S04_Emploi_C" sheetId="187" r:id="rId9"/>
    <sheet name="S05_Revenus_Indiv" sheetId="178" r:id="rId10"/>
    <sheet name="S06_Epargne" sheetId="155" r:id="rId11"/>
    <sheet name="S7a_Conso_Re" sheetId="184" r:id="rId12"/>
    <sheet name="S7b_Conso_Al" sheetId="183" r:id="rId13"/>
    <sheet name="S8A_SecAlimentaire_FIES" sheetId="180" r:id="rId14"/>
    <sheet name="S9a__Conso_NA" sheetId="143" r:id="rId15"/>
    <sheet name="S9b__Conso_NA" sheetId="141" r:id="rId16"/>
    <sheet name="S9c__Conso_NA" sheetId="140" r:id="rId17"/>
    <sheet name="S9d___Conso_NA" sheetId="146" r:id="rId18"/>
    <sheet name="S9e__Conso_NA" sheetId="144" r:id="rId19"/>
    <sheet name="S9f__Conso_NA" sheetId="176" r:id="rId20"/>
    <sheet name="S10_Entreprises1 " sheetId="188" r:id="rId21"/>
    <sheet name="S10_Entreprises2" sheetId="190" r:id="rId22"/>
    <sheet name="S11_Logement" sheetId="175" r:id="rId23"/>
    <sheet name="S12_Avoirs" sheetId="119" r:id="rId24"/>
    <sheet name="S13_Transferts" sheetId="137" r:id="rId25"/>
    <sheet name="S14A_Chocs" sheetId="198" r:id="rId26"/>
    <sheet name="S14B_Chocs" sheetId="156" r:id="rId27"/>
    <sheet name="S15_Filet" sheetId="172" r:id="rId28"/>
    <sheet name="S16a_Agri" sheetId="166" r:id="rId29"/>
    <sheet name="S16b_Agri" sheetId="167" r:id="rId30"/>
    <sheet name="S16c_Agri" sheetId="168" r:id="rId31"/>
    <sheet name="S16d_Agri" sheetId="197" r:id="rId32"/>
    <sheet name="S17_Elevage" sheetId="169" r:id="rId33"/>
    <sheet name="S18_Peche" sheetId="192" r:id="rId34"/>
    <sheet name="S19_Equipements" sheetId="170" r:id="rId35"/>
    <sheet name="S20A_PauvreteSubjective" sheetId="202" r:id="rId36"/>
    <sheet name="S20B_Gouvernance" sheetId="206" r:id="rId37"/>
    <sheet name="S20C_Insecurite" sheetId="204" r:id="rId38"/>
    <sheet name="Unites" sheetId="173" r:id="rId39"/>
    <sheet name="Cultures" sheetId="194" r:id="rId40"/>
    <sheet name="Observations" sheetId="115" r:id="rId41"/>
    <sheet name="Variables" sheetId="195" r:id="rId42"/>
  </sheets>
  <definedNames>
    <definedName name="_xlnm.Print_Area" localSheetId="3">S01_Demo!$A$1:$BM$45</definedName>
    <definedName name="_xlnm.Print_Area" localSheetId="4">S02_Educ!$A$1:$CF$39</definedName>
    <definedName name="_xlnm.Print_Area" localSheetId="7">S04_Emploi_B!$A$1:$BF$39</definedName>
    <definedName name="_xlnm.Print_Area" localSheetId="8">S04_Emploi_C!$A$1:$AG$40</definedName>
    <definedName name="_xlnm.Print_Area" localSheetId="9">S05_Revenus_Indiv!$A$1:$Q$40</definedName>
    <definedName name="_xlnm.Print_Area" localSheetId="10">S06_Epargne!$A$1:$AF$38</definedName>
    <definedName name="_xlnm.Print_Area" localSheetId="20">'S10_Entreprises1 '!$A$1:$Q$40</definedName>
    <definedName name="_xlnm.Print_Area" localSheetId="21">S10_Entreprises2!$A$1:$DM$36</definedName>
    <definedName name="_xlnm.Print_Area" localSheetId="22">S11_Logement!$A$1:$AA$135</definedName>
    <definedName name="_xlnm.Print_Area" localSheetId="23">S12_Avoirs!$A$1:$AN$58</definedName>
    <definedName name="_xlnm.Print_Area" localSheetId="26">S14B_Chocs!$A$1:$N$39</definedName>
    <definedName name="_xlnm.Print_Area" localSheetId="28">S16a_Agri!$A$1:$EP$34</definedName>
    <definedName name="_xlnm.Print_Area" localSheetId="29">S16b_Agri!$A$1:$N$38</definedName>
    <definedName name="_xlnm.Print_Area" localSheetId="30">S16c_Agri!$A$1:$U$33</definedName>
    <definedName name="_xlnm.Print_Area" localSheetId="31">S16d_Agri!$A$1:$AH$33</definedName>
    <definedName name="_xlnm.Print_Area" localSheetId="33">S18_Peche!$A$1:$AI$107</definedName>
    <definedName name="_xlnm.Print_Area" localSheetId="35">S20A_PauvreteSubjective!$A$1:$H$26</definedName>
    <definedName name="_xlnm.Print_Area" localSheetId="36">S20B_Gouvernance!$A$1:$CD$25</definedName>
    <definedName name="_xlnm.Print_Area" localSheetId="37">S20C_Insecurite!$A$1:$J$28</definedName>
    <definedName name="_xlnm.Print_Area" localSheetId="13">S8A_SecAlimentaire_FIES!$A$1:$S$43</definedName>
    <definedName name="_xlnm.Print_Area" localSheetId="15">S9b__Conso_NA!$A$1:$D$29</definedName>
    <definedName name="_xlnm.Print_Area" localSheetId="16">S9c__Conso_NA!$A$1:$D$35</definedName>
    <definedName name="_xlnm.Print_Area" localSheetId="18">S9e__Conso_NA!$A$1:$D$21</definedName>
    <definedName name="_xlnm.Print_Area" localSheetId="19">S9f__Conso_NA!$A$1:$D$66</definedName>
    <definedName name="_xlnm.Print_Area" localSheetId="1">TOC!$A$1:$K$31</definedName>
    <definedName name="_xlnm.Print_Titles" localSheetId="22">S11_Logement!$1:$1</definedName>
    <definedName name="_xlnm.Print_Titles" localSheetId="23">S12_Avoirs!$A:$G,S12_Avoirs!$4:$13</definedName>
    <definedName name="_xlnm.Print_Titles" localSheetId="28">S16a_Agri!$A:$A,S16a_Agri!$1:$2</definedName>
    <definedName name="_xlnm.Print_Titles" localSheetId="30">S16c_Agri!$A:$A</definedName>
    <definedName name="_xlnm.Print_Titles" localSheetId="31">S16d_Agri!$A:$A</definedName>
    <definedName name="_xlnm.Print_Titles" localSheetId="32">S17_Elevage!$A:$A</definedName>
    <definedName name="_xlnm.Print_Titles" localSheetId="33">S18_Peche!$1:$1</definedName>
    <definedName name="_xlnm.Print_Titles" localSheetId="12">S7b_Conso_Al!$1:$17</definedName>
    <definedName name="_xlnm.Print_Titles" localSheetId="14">S9a__Conso_NA!$1:$16</definedName>
    <definedName name="_xlnm.Print_Titles" localSheetId="18">S9e__Conso_NA!$1:$9</definedName>
    <definedName name="_xlnm.Print_Titles" localSheetId="19">S9f__Conso_NA!$1:$9</definedName>
    <definedName name="Z_62F9A1C0_96E2_11D5_9CF8_9F2DE9CFA54B_.wvu.Cols" localSheetId="0" hidden="1">couvert!#REF!</definedName>
    <definedName name="Z_62F9A1C0_96E2_11D5_9CF8_9F2DE9CFA54B_.wvu.PrintArea" localSheetId="0" hidden="1">couvert!#REF!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6" i="183" l="1"/>
  <c r="X11" i="185" l="1"/>
  <c r="P4" i="186"/>
  <c r="AZ5" i="186"/>
  <c r="AV5" i="186"/>
  <c r="E11" i="172" l="1"/>
  <c r="O5" i="168"/>
  <c r="R5" i="197"/>
  <c r="G8" i="199" l="1"/>
  <c r="G6" i="204"/>
  <c r="F6" i="204"/>
  <c r="D6" i="204"/>
  <c r="E6" i="204"/>
  <c r="C6" i="204"/>
  <c r="B6" i="204"/>
  <c r="A6" i="204"/>
  <c r="I13" i="199"/>
  <c r="E10" i="199"/>
  <c r="L29" i="199"/>
  <c r="I12" i="199" l="1"/>
  <c r="W12" i="199"/>
  <c r="L47" i="199"/>
  <c r="I4" i="199"/>
  <c r="K28" i="180" l="1"/>
  <c r="M15" i="180"/>
  <c r="K12" i="180"/>
  <c r="K6" i="180"/>
  <c r="A34" i="180"/>
  <c r="A27" i="180"/>
  <c r="A20" i="180"/>
  <c r="A13" i="180"/>
  <c r="A179" i="183"/>
  <c r="A180" i="183" s="1"/>
  <c r="A181" i="183" s="1"/>
  <c r="A182" i="183" s="1"/>
  <c r="A183" i="183" s="1"/>
  <c r="A184" i="183" s="1"/>
  <c r="A185" i="183" s="1"/>
  <c r="A186" i="183" s="1"/>
  <c r="A187" i="183" s="1"/>
  <c r="A178" i="183"/>
  <c r="A163" i="183"/>
  <c r="A164" i="183" s="1"/>
  <c r="A165" i="183" s="1"/>
  <c r="A166" i="183" s="1"/>
  <c r="A167" i="183" s="1"/>
  <c r="A168" i="183" s="1"/>
  <c r="A169" i="183" s="1"/>
  <c r="A170" i="183" s="1"/>
  <c r="A171" i="183" s="1"/>
  <c r="A172" i="183" s="1"/>
  <c r="A173" i="183" s="1"/>
  <c r="A174" i="183" s="1"/>
  <c r="A175" i="183" s="1"/>
  <c r="A157" i="183"/>
  <c r="A158" i="183"/>
  <c r="A159" i="183" s="1"/>
  <c r="A156" i="183"/>
  <c r="A155" i="183"/>
  <c r="A131" i="183"/>
  <c r="A132" i="183" s="1"/>
  <c r="A133" i="183" s="1"/>
  <c r="A134" i="183" s="1"/>
  <c r="A135" i="183" s="1"/>
  <c r="A137" i="183" s="1"/>
  <c r="A138" i="183" s="1"/>
  <c r="A139" i="183" s="1"/>
  <c r="A140" i="183" s="1"/>
  <c r="A141" i="183" s="1"/>
  <c r="A142" i="183" s="1"/>
  <c r="A143" i="183" s="1"/>
  <c r="A144" i="183" s="1"/>
  <c r="A145" i="183" s="1"/>
  <c r="A146" i="183" s="1"/>
  <c r="A147" i="183" s="1"/>
  <c r="A148" i="183" s="1"/>
  <c r="A149" i="183" s="1"/>
  <c r="A150" i="183" s="1"/>
  <c r="A151" i="183" s="1"/>
  <c r="A152" i="183" s="1"/>
  <c r="A153" i="183" s="1"/>
  <c r="A109" i="183"/>
  <c r="A110" i="183"/>
  <c r="A111" i="183" s="1"/>
  <c r="A112" i="183" s="1"/>
  <c r="A113" i="183" s="1"/>
  <c r="A114" i="183" s="1"/>
  <c r="A115" i="183" s="1"/>
  <c r="A116" i="183" s="1"/>
  <c r="A117" i="183" s="1"/>
  <c r="A118" i="183" s="1"/>
  <c r="A119" i="183" s="1"/>
  <c r="A120" i="183" s="1"/>
  <c r="A121" i="183" s="1"/>
  <c r="A122" i="183" s="1"/>
  <c r="A123" i="183" s="1"/>
  <c r="A124" i="183" s="1"/>
  <c r="A125" i="183" s="1"/>
  <c r="A126" i="183" s="1"/>
  <c r="A127" i="183" s="1"/>
  <c r="A107" i="183"/>
  <c r="A94" i="183"/>
  <c r="A95" i="183"/>
  <c r="A96" i="183" s="1"/>
  <c r="A97" i="183" s="1"/>
  <c r="A98" i="183" s="1"/>
  <c r="A99" i="183" s="1"/>
  <c r="A100" i="183" s="1"/>
  <c r="A101" i="183" s="1"/>
  <c r="A102" i="183" s="1"/>
  <c r="A103" i="183" s="1"/>
  <c r="A104" i="183" s="1"/>
  <c r="A105" i="183" s="1"/>
  <c r="A85" i="183"/>
  <c r="A86" i="183"/>
  <c r="A87" i="183" s="1"/>
  <c r="A88" i="183" s="1"/>
  <c r="A89" i="183" s="1"/>
  <c r="A90" i="183" s="1"/>
  <c r="A75" i="183"/>
  <c r="A76" i="183"/>
  <c r="A77" i="183" s="1"/>
  <c r="A78" i="183" s="1"/>
  <c r="A79" i="183" s="1"/>
  <c r="A80" i="183" s="1"/>
  <c r="A81" i="183" s="1"/>
  <c r="A62" i="183"/>
  <c r="A63" i="183" s="1"/>
  <c r="A64" i="183" s="1"/>
  <c r="A65" i="183" s="1"/>
  <c r="A66" i="183" s="1"/>
  <c r="A67" i="183" s="1"/>
  <c r="A68" i="183" s="1"/>
  <c r="A69" i="183" s="1"/>
  <c r="A70" i="183" s="1"/>
  <c r="A71" i="183" s="1"/>
  <c r="A48" i="183"/>
  <c r="A49" i="183"/>
  <c r="A50" i="183" s="1"/>
  <c r="A51" i="183" s="1"/>
  <c r="A52" i="183" s="1"/>
  <c r="A53" i="183" s="1"/>
  <c r="A54" i="183" s="1"/>
  <c r="A55" i="183" s="1"/>
  <c r="A56" i="183" s="1"/>
  <c r="A57" i="183" s="1"/>
  <c r="A58" i="183" s="1"/>
  <c r="A31" i="183"/>
  <c r="A32" i="183"/>
  <c r="A33" i="183" s="1"/>
  <c r="A34" i="183" s="1"/>
  <c r="A35" i="183" s="1"/>
  <c r="A36" i="183" s="1"/>
  <c r="A37" i="183" s="1"/>
  <c r="A38" i="183" s="1"/>
  <c r="A39" i="183" s="1"/>
  <c r="A40" i="183" s="1"/>
  <c r="A41" i="183" s="1"/>
  <c r="A42" i="183" s="1"/>
  <c r="A43" i="183" s="1"/>
  <c r="A44" i="183" s="1"/>
  <c r="A14" i="176"/>
  <c r="A15" i="176" s="1"/>
  <c r="A16" i="176" s="1"/>
  <c r="A17" i="176" s="1"/>
  <c r="A18" i="176" s="1"/>
  <c r="A19" i="176" s="1"/>
  <c r="A20" i="176" s="1"/>
  <c r="A21" i="176" s="1"/>
  <c r="A22" i="176" s="1"/>
  <c r="A23" i="176" s="1"/>
  <c r="A24" i="176" s="1"/>
  <c r="A25" i="176" s="1"/>
  <c r="A26" i="176" s="1"/>
  <c r="A27" i="176" s="1"/>
  <c r="A28" i="176" s="1"/>
  <c r="A29" i="176" s="1"/>
  <c r="A30" i="176" s="1"/>
  <c r="A31" i="176" s="1"/>
  <c r="A32" i="176" s="1"/>
  <c r="A33" i="176" s="1"/>
  <c r="A34" i="176" s="1"/>
  <c r="A35" i="176" s="1"/>
  <c r="A36" i="176" s="1"/>
  <c r="A37" i="176" s="1"/>
  <c r="A38" i="176" s="1"/>
  <c r="A39" i="176" s="1"/>
  <c r="A40" i="176" s="1"/>
  <c r="A41" i="176" s="1"/>
  <c r="A42" i="176" s="1"/>
  <c r="A43" i="176" s="1"/>
  <c r="A44" i="176" s="1"/>
  <c r="A45" i="176" s="1"/>
  <c r="A46" i="176" s="1"/>
  <c r="A47" i="176" s="1"/>
  <c r="A48" i="176" s="1"/>
  <c r="A49" i="176" s="1"/>
  <c r="A50" i="176" s="1"/>
  <c r="A51" i="176" s="1"/>
  <c r="A52" i="176" s="1"/>
  <c r="A53" i="176" s="1"/>
  <c r="A54" i="176" s="1"/>
  <c r="A55" i="176" s="1"/>
  <c r="A56" i="176" s="1"/>
  <c r="A57" i="176" s="1"/>
  <c r="A58" i="176" s="1"/>
  <c r="A59" i="176" s="1"/>
  <c r="A60" i="176" s="1"/>
  <c r="A61" i="176" s="1"/>
  <c r="A62" i="176" s="1"/>
  <c r="A63" i="176" s="1"/>
  <c r="A64" i="176" s="1"/>
  <c r="A65" i="176" s="1"/>
  <c r="A66" i="176" s="1"/>
  <c r="BX7" i="206"/>
  <c r="BV7" i="206"/>
  <c r="BU7" i="206"/>
  <c r="BR7" i="206"/>
  <c r="BQ7" i="206"/>
  <c r="BP7" i="206"/>
  <c r="BO7" i="206"/>
  <c r="BE7" i="206"/>
  <c r="AW7" i="206"/>
  <c r="AV7" i="206"/>
  <c r="AU7" i="206"/>
  <c r="AT7" i="206"/>
  <c r="AP7" i="206"/>
  <c r="AM7" i="206"/>
  <c r="AL7" i="206"/>
  <c r="AK7" i="206"/>
  <c r="Y7" i="206"/>
  <c r="U7" i="206"/>
  <c r="T7" i="206"/>
  <c r="B7" i="206"/>
  <c r="A7" i="206"/>
  <c r="A7" i="202"/>
  <c r="BI7" i="169"/>
  <c r="G4" i="199"/>
  <c r="F4" i="199"/>
  <c r="L4" i="199"/>
  <c r="J4" i="199"/>
  <c r="E4" i="199"/>
  <c r="A18" i="202" l="1"/>
  <c r="G7" i="202"/>
  <c r="F7" i="202"/>
  <c r="E7" i="202"/>
  <c r="D7" i="202"/>
  <c r="C7" i="202"/>
  <c r="B7" i="202"/>
  <c r="B46" i="192" l="1"/>
  <c r="U38" i="192"/>
  <c r="U34" i="192"/>
  <c r="G11" i="116" l="1"/>
  <c r="AE7" i="169"/>
  <c r="E7" i="170"/>
  <c r="CD4" i="125"/>
  <c r="CD16" i="125"/>
  <c r="CD14" i="125"/>
  <c r="S137" i="175"/>
  <c r="J137" i="175"/>
  <c r="A137" i="175"/>
  <c r="S126" i="175"/>
  <c r="E6" i="170"/>
  <c r="AS13" i="186"/>
  <c r="AV15" i="186"/>
  <c r="BF4" i="186"/>
  <c r="BE4" i="186"/>
  <c r="BB4" i="186"/>
  <c r="BA4" i="186"/>
  <c r="AZ4" i="186"/>
  <c r="AX4" i="186"/>
  <c r="AW4" i="186"/>
  <c r="AV4" i="186"/>
  <c r="AT4" i="186"/>
  <c r="AS4" i="186"/>
  <c r="AR4" i="186"/>
  <c r="B4" i="187"/>
  <c r="BD18" i="186"/>
  <c r="AT14" i="124"/>
  <c r="A32" i="146"/>
  <c r="BD4" i="186"/>
  <c r="AM4" i="186"/>
  <c r="AO4" i="185"/>
  <c r="AR3" i="124"/>
  <c r="AH4" i="185"/>
  <c r="AG4" i="185"/>
  <c r="AA4" i="185"/>
  <c r="Z4" i="185"/>
  <c r="Y4" i="185"/>
  <c r="X4" i="185"/>
  <c r="BX14" i="125"/>
  <c r="BZ14" i="125"/>
  <c r="BR4" i="124"/>
  <c r="EL6" i="166"/>
  <c r="F6" i="166"/>
  <c r="N5" i="137"/>
  <c r="N8" i="137"/>
  <c r="M12" i="166"/>
  <c r="M31" i="180"/>
  <c r="M32" i="180"/>
  <c r="M33" i="180"/>
  <c r="BF15" i="199"/>
  <c r="AK13" i="199"/>
  <c r="O8" i="199"/>
  <c r="V4" i="199"/>
  <c r="T16" i="199" s="1"/>
  <c r="M24" i="172"/>
  <c r="M25" i="172" s="1"/>
  <c r="M26" i="172" s="1"/>
  <c r="M27" i="172" s="1"/>
  <c r="M28" i="172" s="1"/>
  <c r="M29" i="172" s="1"/>
  <c r="M30" i="172" s="1"/>
  <c r="M31" i="172" s="1"/>
  <c r="AV14" i="186"/>
  <c r="AC15" i="187"/>
  <c r="O17" i="186"/>
  <c r="A8" i="198"/>
  <c r="A9" i="198"/>
  <c r="A10" i="198"/>
  <c r="A11" i="198"/>
  <c r="A12" i="198"/>
  <c r="A13" i="198"/>
  <c r="CE7" i="169"/>
  <c r="G4" i="197"/>
  <c r="D4" i="197"/>
  <c r="C4" i="197"/>
  <c r="B4" i="197"/>
  <c r="R4" i="168"/>
  <c r="M5" i="168"/>
  <c r="Q4" i="168"/>
  <c r="P4" i="168"/>
  <c r="O4" i="168"/>
  <c r="N4" i="168"/>
  <c r="M4" i="168"/>
  <c r="K4" i="168"/>
  <c r="J4" i="168"/>
  <c r="I4" i="168"/>
  <c r="H4" i="168"/>
  <c r="G4" i="168"/>
  <c r="F4" i="168"/>
  <c r="E4" i="168"/>
  <c r="D4" i="168"/>
  <c r="C4" i="168"/>
  <c r="B4" i="168"/>
  <c r="I12" i="137"/>
  <c r="N7" i="137"/>
  <c r="A5" i="137"/>
  <c r="E4" i="198"/>
  <c r="D4" i="198"/>
  <c r="C4" i="198"/>
  <c r="S6" i="166"/>
  <c r="J34" i="197"/>
  <c r="J4" i="197"/>
  <c r="C4" i="195"/>
  <c r="C4" i="172"/>
  <c r="D4" i="172"/>
  <c r="E4" i="172"/>
  <c r="F4" i="172"/>
  <c r="BF19" i="186"/>
  <c r="BF16" i="186"/>
  <c r="N23" i="185"/>
  <c r="B3" i="195"/>
  <c r="C3" i="195"/>
  <c r="C2" i="195"/>
  <c r="DX13" i="166"/>
  <c r="DK13" i="166"/>
  <c r="CX13" i="166"/>
  <c r="CG13" i="166"/>
  <c r="BP13" i="166"/>
  <c r="AY13" i="166"/>
  <c r="N5" i="168"/>
  <c r="N11" i="137"/>
  <c r="N10" i="137"/>
  <c r="N9" i="137"/>
  <c r="C14" i="183"/>
  <c r="S22" i="184"/>
  <c r="P22" i="184"/>
  <c r="M22" i="184"/>
  <c r="F22" i="184"/>
  <c r="I22" i="184"/>
  <c r="C22" i="184"/>
  <c r="P6" i="166"/>
  <c r="AA15" i="185"/>
  <c r="BN15" i="125"/>
  <c r="AY22" i="124"/>
  <c r="CB22" i="124"/>
  <c r="CB15" i="124"/>
  <c r="AY15" i="124"/>
  <c r="H5" i="168"/>
  <c r="M14" i="166"/>
  <c r="F17" i="186"/>
  <c r="F15" i="187"/>
  <c r="A5" i="192"/>
  <c r="A9" i="192" s="1"/>
  <c r="A12" i="192" s="1"/>
  <c r="A21" i="192" s="1"/>
  <c r="A26" i="192" s="1"/>
  <c r="A32" i="192" s="1"/>
  <c r="U5" i="192" s="1"/>
  <c r="U15" i="192" s="1"/>
  <c r="U20" i="192" s="1"/>
  <c r="A12" i="175"/>
  <c r="A16" i="175"/>
  <c r="A21" i="175"/>
  <c r="B6" i="190"/>
  <c r="C6" i="190"/>
  <c r="D6" i="190"/>
  <c r="F6" i="190"/>
  <c r="H6" i="190"/>
  <c r="I6" i="190"/>
  <c r="K6" i="190"/>
  <c r="M6" i="190"/>
  <c r="N6" i="190"/>
  <c r="O6" i="190"/>
  <c r="Q6" i="190"/>
  <c r="C4" i="185"/>
  <c r="M13" i="166"/>
  <c r="M11" i="166"/>
  <c r="M10" i="166"/>
  <c r="H4" i="119"/>
  <c r="L4" i="119"/>
  <c r="P4" i="119"/>
  <c r="S4" i="119"/>
  <c r="Z4" i="119"/>
  <c r="P12" i="119" s="1"/>
  <c r="V20" i="184"/>
  <c r="S20" i="184"/>
  <c r="P20" i="184"/>
  <c r="M20" i="184"/>
  <c r="I20" i="184"/>
  <c r="F20" i="184"/>
  <c r="C20" i="184"/>
  <c r="F21" i="184"/>
  <c r="I21" i="184"/>
  <c r="M21" i="184"/>
  <c r="P21" i="184"/>
  <c r="S21" i="184"/>
  <c r="V21" i="184"/>
  <c r="F18" i="184"/>
  <c r="I18" i="184"/>
  <c r="M18" i="184"/>
  <c r="P18" i="184"/>
  <c r="S18" i="184"/>
  <c r="V18" i="184"/>
  <c r="A20" i="183"/>
  <c r="A21" i="183"/>
  <c r="A22" i="183"/>
  <c r="A23" i="183"/>
  <c r="A24" i="183"/>
  <c r="A25" i="183"/>
  <c r="A26" i="183"/>
  <c r="A27" i="183"/>
  <c r="A28" i="183"/>
  <c r="A29" i="183"/>
  <c r="A30" i="183"/>
  <c r="C4" i="125"/>
  <c r="D4" i="125"/>
  <c r="F4" i="125"/>
  <c r="G4" i="125"/>
  <c r="I4" i="125"/>
  <c r="F17" i="125" s="1"/>
  <c r="J4" i="125"/>
  <c r="L4" i="125"/>
  <c r="C3" i="124"/>
  <c r="F3" i="124"/>
  <c r="I3" i="124" s="1"/>
  <c r="L3" i="124"/>
  <c r="A11" i="188"/>
  <c r="A14" i="188"/>
  <c r="A17" i="188"/>
  <c r="A20" i="188"/>
  <c r="A23" i="188"/>
  <c r="A26" i="188"/>
  <c r="A29" i="188"/>
  <c r="A32" i="188"/>
  <c r="A35" i="188"/>
  <c r="F19" i="186"/>
  <c r="F18" i="187"/>
  <c r="F14" i="187"/>
  <c r="F13" i="187"/>
  <c r="F13" i="186"/>
  <c r="F11" i="187"/>
  <c r="F12" i="186"/>
  <c r="F10" i="187"/>
  <c r="J17" i="186"/>
  <c r="N4" i="155"/>
  <c r="C5" i="155"/>
  <c r="M17" i="180"/>
  <c r="M16" i="180"/>
  <c r="A11" i="176"/>
  <c r="A12" i="176"/>
  <c r="A13" i="176"/>
  <c r="A11" i="144"/>
  <c r="A12" i="144"/>
  <c r="A13" i="144"/>
  <c r="A14" i="144"/>
  <c r="A15" i="144"/>
  <c r="A16" i="144"/>
  <c r="A17" i="144"/>
  <c r="A18" i="144"/>
  <c r="A19" i="144"/>
  <c r="A20" i="144"/>
  <c r="A21" i="144"/>
  <c r="C6" i="170"/>
  <c r="B6" i="169"/>
  <c r="C6" i="169"/>
  <c r="D6" i="169"/>
  <c r="E6" i="169"/>
  <c r="F6" i="169"/>
  <c r="G6" i="169"/>
  <c r="V6" i="169"/>
  <c r="W6" i="169"/>
  <c r="X6" i="169"/>
  <c r="V7" i="169" s="1"/>
  <c r="Y6" i="169"/>
  <c r="Z6" i="169"/>
  <c r="AA6" i="169"/>
  <c r="AB6" i="169"/>
  <c r="AC6" i="169"/>
  <c r="AE6" i="169"/>
  <c r="X7" i="169" s="1"/>
  <c r="AF6" i="169"/>
  <c r="AG6" i="169"/>
  <c r="AP6" i="169"/>
  <c r="AQ6" i="169"/>
  <c r="AR6" i="169"/>
  <c r="AS6" i="169"/>
  <c r="AU6" i="169"/>
  <c r="AP7" i="169" s="1"/>
  <c r="AV6" i="169"/>
  <c r="AX6" i="169"/>
  <c r="AU7" i="169" s="1"/>
  <c r="AY6" i="169"/>
  <c r="AZ6" i="169"/>
  <c r="BB6" i="169"/>
  <c r="BC6" i="169"/>
  <c r="BD6" i="169"/>
  <c r="BE6" i="169"/>
  <c r="BG6" i="169"/>
  <c r="BI6" i="169"/>
  <c r="BJ6" i="169"/>
  <c r="BM6" i="169"/>
  <c r="BN6" i="169"/>
  <c r="BP6" i="169"/>
  <c r="BQ6" i="169"/>
  <c r="BS6" i="169"/>
  <c r="BT6" i="169"/>
  <c r="BU6" i="169"/>
  <c r="BW6" i="169"/>
  <c r="BX6" i="169"/>
  <c r="BY6" i="169"/>
  <c r="BZ6" i="169"/>
  <c r="CA6" i="169"/>
  <c r="CB6" i="169"/>
  <c r="CD6" i="169"/>
  <c r="BZ7" i="169" s="1"/>
  <c r="CE6" i="169"/>
  <c r="A20" i="167"/>
  <c r="A21" i="167"/>
  <c r="A22" i="167"/>
  <c r="A23" i="167"/>
  <c r="A24" i="167"/>
  <c r="A25" i="167"/>
  <c r="A26" i="167"/>
  <c r="A27" i="167"/>
  <c r="A28" i="167"/>
  <c r="A29" i="167"/>
  <c r="A30" i="167"/>
  <c r="A31" i="167"/>
  <c r="A32" i="167"/>
  <c r="A33" i="167"/>
  <c r="A34" i="167"/>
  <c r="A35" i="167"/>
  <c r="A36" i="167"/>
  <c r="A24" i="172"/>
  <c r="A25" i="172"/>
  <c r="A26" i="172"/>
  <c r="A27" i="172"/>
  <c r="A28" i="172"/>
  <c r="A29" i="172"/>
  <c r="A30" i="172"/>
  <c r="A31" i="172"/>
  <c r="A19" i="156"/>
  <c r="A20" i="156"/>
  <c r="A21" i="156"/>
  <c r="A22" i="156"/>
  <c r="A23" i="156"/>
  <c r="A24" i="156"/>
  <c r="A25" i="156"/>
  <c r="A26" i="156"/>
  <c r="A27" i="156"/>
  <c r="A28" i="156"/>
  <c r="A29" i="156"/>
  <c r="A30" i="156"/>
  <c r="A31" i="156"/>
  <c r="A32" i="156"/>
  <c r="A33" i="156"/>
  <c r="A34" i="156"/>
  <c r="A35" i="156"/>
  <c r="A36" i="156"/>
  <c r="A37" i="156"/>
  <c r="A38" i="156"/>
  <c r="A39" i="156"/>
  <c r="A13" i="146"/>
  <c r="A14" i="146"/>
  <c r="A15" i="146"/>
  <c r="A16" i="146"/>
  <c r="A17" i="146"/>
  <c r="A18" i="146"/>
  <c r="A19" i="146"/>
  <c r="A20" i="146"/>
  <c r="A21" i="146"/>
  <c r="A22" i="146"/>
  <c r="A23" i="146"/>
  <c r="A24" i="146"/>
  <c r="A25" i="146"/>
  <c r="A26" i="146"/>
  <c r="A27" i="146" s="1"/>
  <c r="A28" i="146" s="1"/>
  <c r="A29" i="146" s="1"/>
  <c r="A30" i="146" s="1"/>
  <c r="A31" i="146" s="1"/>
  <c r="A13" i="140"/>
  <c r="A14" i="140"/>
  <c r="A15" i="140"/>
  <c r="A16" i="140"/>
  <c r="A17" i="140"/>
  <c r="A18" i="140"/>
  <c r="A19" i="140"/>
  <c r="A20" i="140"/>
  <c r="A21" i="140"/>
  <c r="A22" i="140"/>
  <c r="A23" i="140"/>
  <c r="A24" i="140"/>
  <c r="A25" i="140"/>
  <c r="A26" i="140"/>
  <c r="A27" i="140"/>
  <c r="A28" i="140"/>
  <c r="A29" i="140"/>
  <c r="A30" i="140"/>
  <c r="A31" i="140"/>
  <c r="A32" i="140"/>
  <c r="A33" i="140" s="1"/>
  <c r="A34" i="140" s="1"/>
  <c r="A35" i="140" s="1"/>
  <c r="A14" i="141"/>
  <c r="A15" i="141" s="1"/>
  <c r="A16" i="141" s="1"/>
  <c r="A17" i="141" s="1"/>
  <c r="A18" i="141" s="1"/>
  <c r="A19" i="141" s="1"/>
  <c r="A20" i="141" s="1"/>
  <c r="A21" i="141" s="1"/>
  <c r="A22" i="141" s="1"/>
  <c r="A23" i="141" s="1"/>
  <c r="A24" i="141" s="1"/>
  <c r="A25" i="141" s="1"/>
  <c r="A26" i="141" s="1"/>
  <c r="A27" i="141" s="1"/>
  <c r="A28" i="141" s="1"/>
  <c r="A29" i="141" s="1"/>
  <c r="A15" i="119"/>
  <c r="A16" i="119"/>
  <c r="A17" i="119"/>
  <c r="A18" i="119"/>
  <c r="A19" i="119"/>
  <c r="A20" i="119"/>
  <c r="A21" i="119"/>
  <c r="A22" i="119"/>
  <c r="A23" i="119"/>
  <c r="A24" i="119"/>
  <c r="A25" i="119"/>
  <c r="A26" i="119"/>
  <c r="A27" i="119"/>
  <c r="A28" i="119"/>
  <c r="A29" i="119"/>
  <c r="A30" i="119"/>
  <c r="A31" i="119"/>
  <c r="A32" i="119"/>
  <c r="A33" i="119"/>
  <c r="A34" i="119"/>
  <c r="A35" i="119"/>
  <c r="A36" i="119"/>
  <c r="A37" i="119"/>
  <c r="A38" i="119"/>
  <c r="A39" i="119"/>
  <c r="A40" i="119"/>
  <c r="A41" i="119"/>
  <c r="A42" i="119"/>
  <c r="A43" i="119"/>
  <c r="A44" i="119"/>
  <c r="A45" i="119"/>
  <c r="A46" i="119"/>
  <c r="A47" i="119"/>
  <c r="A48" i="119"/>
  <c r="A49" i="119"/>
  <c r="A50" i="119"/>
  <c r="A51" i="119"/>
  <c r="A52" i="119"/>
  <c r="A53" i="119"/>
  <c r="A54" i="119"/>
  <c r="A55" i="119"/>
  <c r="A56" i="119"/>
  <c r="A57" i="119"/>
  <c r="A58" i="119"/>
  <c r="C4" i="178"/>
  <c r="D4" i="178"/>
  <c r="E4" i="178"/>
  <c r="C23" i="178" s="1"/>
  <c r="A38" i="188"/>
  <c r="B38" i="188"/>
  <c r="A46" i="183"/>
  <c r="A47" i="183" s="1"/>
  <c r="A60" i="183" s="1"/>
  <c r="A61" i="183" s="1"/>
  <c r="A73" i="183" s="1"/>
  <c r="A74" i="183" s="1"/>
  <c r="A83" i="183" s="1"/>
  <c r="A84" i="183" s="1"/>
  <c r="A92" i="183" s="1"/>
  <c r="A93" i="183" s="1"/>
  <c r="A108" i="183" s="1"/>
  <c r="A129" i="183" s="1"/>
  <c r="A130" i="183" s="1"/>
  <c r="A161" i="183" s="1"/>
  <c r="A162" i="183" s="1"/>
  <c r="A177" i="183" s="1"/>
  <c r="AD4" i="119"/>
  <c r="AG4" i="119"/>
  <c r="AK4" i="119"/>
  <c r="CF6" i="169"/>
  <c r="CG6" i="169"/>
  <c r="CH6" i="169"/>
  <c r="CI6" i="169"/>
  <c r="CJ6" i="169"/>
  <c r="CK6" i="169"/>
  <c r="CL6" i="169"/>
  <c r="CI7" i="169" s="1"/>
  <c r="CM6" i="169"/>
  <c r="CN6" i="169"/>
  <c r="CL7" i="169" s="1"/>
  <c r="CO6" i="169"/>
  <c r="CP6" i="169"/>
  <c r="CN7" i="169" s="1"/>
  <c r="CQ6" i="169"/>
  <c r="F4" i="178"/>
  <c r="G4" i="178"/>
  <c r="E23" i="178" s="1"/>
  <c r="H4" i="178"/>
  <c r="I4" i="178"/>
  <c r="G23" i="178" s="1"/>
  <c r="J4" i="178"/>
  <c r="L4" i="178"/>
  <c r="I23" i="178" s="1"/>
  <c r="M4" i="178"/>
  <c r="N4" i="178"/>
  <c r="L23" i="178" s="1"/>
  <c r="O4" i="178"/>
  <c r="P4" i="178"/>
  <c r="N23" i="178" s="1"/>
  <c r="Q4" i="178"/>
  <c r="BS4" i="124"/>
  <c r="BT4" i="124"/>
  <c r="BQ4" i="124"/>
  <c r="BY4" i="124"/>
  <c r="BA4" i="124"/>
  <c r="BX4" i="124"/>
  <c r="BV4" i="124"/>
  <c r="AY4" i="124"/>
  <c r="BU4" i="124"/>
  <c r="W4" i="124"/>
  <c r="N17" i="190"/>
  <c r="S6" i="190"/>
  <c r="T6" i="190"/>
  <c r="U6" i="190"/>
  <c r="O4" i="155"/>
  <c r="P4" i="155"/>
  <c r="N16" i="155" s="1"/>
  <c r="S16" i="190"/>
  <c r="V6" i="190"/>
  <c r="W6" i="190"/>
  <c r="Q4" i="155"/>
  <c r="R4" i="155"/>
  <c r="Q19" i="190"/>
  <c r="Q16" i="190"/>
  <c r="X6" i="190"/>
  <c r="Y6" i="190"/>
  <c r="Z6" i="190"/>
  <c r="AA6" i="190"/>
  <c r="AB6" i="190"/>
  <c r="AC6" i="190"/>
  <c r="AE6" i="190"/>
  <c r="AF6" i="190"/>
  <c r="AG6" i="190"/>
  <c r="AE20" i="190" s="1"/>
  <c r="Q14" i="190"/>
  <c r="Q20" i="190"/>
  <c r="Q18" i="190"/>
  <c r="Q22" i="190"/>
  <c r="Q21" i="190"/>
  <c r="O22" i="155"/>
  <c r="S4" i="155"/>
  <c r="T4" i="155"/>
  <c r="V4" i="155"/>
  <c r="AH6" i="190"/>
  <c r="AI6" i="190"/>
  <c r="AG20" i="190" s="1"/>
  <c r="P15" i="155"/>
  <c r="W4" i="155"/>
  <c r="X4" i="155"/>
  <c r="Y4" i="155"/>
  <c r="AA4" i="155"/>
  <c r="AB4" i="155"/>
  <c r="AC4" i="155"/>
  <c r="AD4" i="155"/>
  <c r="AE4" i="155"/>
  <c r="AF4" i="155" s="1"/>
  <c r="AJ6" i="190"/>
  <c r="AK6" i="190"/>
  <c r="AI20" i="190" s="1"/>
  <c r="AL6" i="190"/>
  <c r="AM6" i="190"/>
  <c r="AK20" i="190" s="1"/>
  <c r="AN6" i="190"/>
  <c r="AP6" i="190"/>
  <c r="BI6" i="190"/>
  <c r="BJ6" i="190"/>
  <c r="BK6" i="190"/>
  <c r="BL6" i="190"/>
  <c r="BN6" i="190"/>
  <c r="BO6" i="190"/>
  <c r="BP6" i="190"/>
  <c r="BQ6" i="190"/>
  <c r="BR6" i="190"/>
  <c r="BS6" i="190"/>
  <c r="BT6" i="190"/>
  <c r="BU6" i="190"/>
  <c r="K34" i="197"/>
  <c r="D16" i="172"/>
  <c r="G4" i="172"/>
  <c r="H4" i="172"/>
  <c r="N4" i="125"/>
  <c r="O4" i="125"/>
  <c r="Q4" i="125"/>
  <c r="AB4" i="125"/>
  <c r="AD4" i="125"/>
  <c r="I19" i="125"/>
  <c r="A31" i="175"/>
  <c r="A38" i="175"/>
  <c r="E27" i="175" s="1"/>
  <c r="A42" i="175"/>
  <c r="J5" i="175"/>
  <c r="J11" i="175"/>
  <c r="J17" i="175"/>
  <c r="J22" i="175"/>
  <c r="J26" i="175"/>
  <c r="J32" i="175"/>
  <c r="J40" i="175"/>
  <c r="O34" i="197"/>
  <c r="K4" i="197"/>
  <c r="I4" i="172"/>
  <c r="O4" i="172"/>
  <c r="H16" i="172" s="1"/>
  <c r="F16" i="172"/>
  <c r="C18" i="125"/>
  <c r="J26" i="125"/>
  <c r="AE4" i="125"/>
  <c r="AB21" i="125" s="1"/>
  <c r="N31" i="175"/>
  <c r="M25" i="175"/>
  <c r="S5" i="175"/>
  <c r="S8" i="175"/>
  <c r="S14" i="175"/>
  <c r="S18" i="175" s="1"/>
  <c r="P34" i="197"/>
  <c r="O4" i="197"/>
  <c r="P4" i="172"/>
  <c r="R4" i="172"/>
  <c r="T4" i="172"/>
  <c r="U4" i="172"/>
  <c r="AF4" i="125"/>
  <c r="AG4" i="125"/>
  <c r="AH4" i="125"/>
  <c r="AI4" i="125"/>
  <c r="N16" i="175"/>
  <c r="F45" i="175"/>
  <c r="X7" i="175"/>
  <c r="Q34" i="197"/>
  <c r="P4" i="197"/>
  <c r="R34" i="197"/>
  <c r="Q4" i="197"/>
  <c r="S25" i="175"/>
  <c r="S32" i="175"/>
  <c r="S38" i="175"/>
  <c r="S41" i="175"/>
  <c r="A47" i="175"/>
  <c r="A57" i="175"/>
  <c r="R4" i="197"/>
  <c r="S34" i="197"/>
  <c r="A61" i="175"/>
  <c r="A66" i="175"/>
  <c r="J47" i="175" s="1"/>
  <c r="V43" i="175"/>
  <c r="W40" i="175"/>
  <c r="S4" i="197"/>
  <c r="T34" i="197"/>
  <c r="D60" i="175"/>
  <c r="J50" i="175"/>
  <c r="J56" i="175"/>
  <c r="J64" i="175"/>
  <c r="T4" i="197"/>
  <c r="U34" i="197"/>
  <c r="J53" i="175"/>
  <c r="J69" i="175"/>
  <c r="J76" i="175"/>
  <c r="V34" i="197"/>
  <c r="U4" i="197"/>
  <c r="J5" i="197"/>
  <c r="J80" i="175"/>
  <c r="S47" i="175"/>
  <c r="J67" i="175"/>
  <c r="V4" i="197"/>
  <c r="Y34" i="197"/>
  <c r="M78" i="175"/>
  <c r="S52" i="175"/>
  <c r="S57" i="175"/>
  <c r="S62" i="175"/>
  <c r="M79" i="175"/>
  <c r="Y4" i="197"/>
  <c r="Z34" i="197"/>
  <c r="S70" i="175"/>
  <c r="T50" i="175"/>
  <c r="Z4" i="197"/>
  <c r="AA34" i="197"/>
  <c r="T51" i="175"/>
  <c r="X54" i="175"/>
  <c r="S78" i="175"/>
  <c r="S82" i="175"/>
  <c r="S86" i="175"/>
  <c r="A95" i="175"/>
  <c r="A101" i="175"/>
  <c r="AB34" i="197"/>
  <c r="AA4" i="197"/>
  <c r="U72" i="175"/>
  <c r="A105" i="175"/>
  <c r="A110" i="175"/>
  <c r="A120" i="175"/>
  <c r="W81" i="175"/>
  <c r="U77" i="175"/>
  <c r="AE34" i="197"/>
  <c r="AB4" i="197"/>
  <c r="A123" i="175"/>
  <c r="A128" i="175"/>
  <c r="J95" i="175"/>
  <c r="E107" i="175"/>
  <c r="D103" i="175"/>
  <c r="Y5" i="197"/>
  <c r="Z5" i="197"/>
  <c r="AE5" i="197"/>
  <c r="AE4" i="197"/>
  <c r="AF34" i="197"/>
  <c r="C125" i="175"/>
  <c r="J101" i="175"/>
  <c r="AF4" i="197"/>
  <c r="AG34" i="197"/>
  <c r="AG4" i="197"/>
  <c r="C122" i="175"/>
  <c r="J105" i="175"/>
  <c r="J110" i="175"/>
  <c r="J119" i="175"/>
  <c r="U5" i="197"/>
  <c r="AA5" i="197"/>
  <c r="J129" i="175"/>
  <c r="S95" i="175"/>
  <c r="S103" i="175"/>
  <c r="S106" i="175"/>
  <c r="S109" i="175"/>
  <c r="L107" i="175"/>
  <c r="M104" i="175"/>
  <c r="X105" i="175"/>
  <c r="S115" i="175"/>
  <c r="S120" i="175"/>
  <c r="Y100" i="175"/>
  <c r="X99" i="175"/>
  <c r="X13" i="192" l="1"/>
  <c r="U25" i="192"/>
  <c r="U30" i="192" s="1"/>
  <c r="W4" i="199"/>
  <c r="X4" i="199" s="1"/>
  <c r="AB4" i="199" s="1"/>
  <c r="T15" i="199"/>
  <c r="F6" i="170"/>
  <c r="I6" i="170" s="1"/>
  <c r="D6" i="170"/>
  <c r="BX6" i="190"/>
  <c r="BW6" i="190"/>
  <c r="BV6" i="190"/>
  <c r="X110" i="175"/>
  <c r="T110" i="175"/>
  <c r="D4" i="185"/>
  <c r="E4" i="185"/>
  <c r="F4" i="185"/>
  <c r="G4" i="185" s="1"/>
  <c r="H4" i="185" s="1"/>
  <c r="J4" i="185"/>
  <c r="I4" i="185"/>
  <c r="M3" i="124"/>
  <c r="AN4" i="125"/>
  <c r="AL4" i="125"/>
  <c r="AK4" i="125"/>
  <c r="AJ4" i="125"/>
  <c r="U75" i="175"/>
  <c r="U76" i="175"/>
  <c r="U74" i="175"/>
  <c r="U73" i="175"/>
  <c r="AB16" i="155"/>
  <c r="AB15" i="155"/>
  <c r="BP7" i="169"/>
  <c r="BW7" i="169"/>
  <c r="BS7" i="169"/>
  <c r="BB7" i="169"/>
  <c r="AX7" i="169"/>
  <c r="E7" i="169"/>
  <c r="F7" i="169"/>
  <c r="H36" i="175"/>
  <c r="E36" i="175"/>
  <c r="A36" i="175"/>
  <c r="AO4" i="124"/>
  <c r="AG4" i="124"/>
  <c r="AF4" i="124"/>
  <c r="Y4" i="124"/>
  <c r="V4" i="124"/>
  <c r="X4" i="124"/>
  <c r="Z4" i="124"/>
  <c r="AU4" i="124"/>
  <c r="AQ4" i="124"/>
  <c r="BZ4" i="124"/>
  <c r="EK6" i="166"/>
  <c r="B1" i="197"/>
  <c r="R5" i="168"/>
  <c r="D5" i="167"/>
  <c r="DX6" i="166"/>
  <c r="DK6" i="166"/>
  <c r="CX6" i="166"/>
  <c r="CG6" i="166"/>
  <c r="BP6" i="166"/>
  <c r="AY6" i="166"/>
  <c r="AP6" i="166"/>
  <c r="AF6" i="166"/>
  <c r="AD6" i="166"/>
  <c r="Z6" i="166"/>
  <c r="I6" i="166"/>
  <c r="H6" i="166"/>
  <c r="B7" i="166"/>
  <c r="B2" i="166"/>
  <c r="A6" i="137"/>
  <c r="X23" i="192" l="1"/>
  <c r="V15" i="199"/>
  <c r="AD4" i="199"/>
  <c r="V16" i="199"/>
  <c r="J6" i="170"/>
  <c r="K6" i="170" s="1"/>
  <c r="L6" i="170" s="1"/>
  <c r="M6" i="170" s="1"/>
  <c r="N6" i="170" s="1"/>
  <c r="C7" i="170" s="1"/>
  <c r="BV21" i="190"/>
  <c r="BY6" i="190"/>
  <c r="CA6" i="190" s="1"/>
  <c r="CB6" i="190" s="1"/>
  <c r="K4" i="185"/>
  <c r="L4" i="185" s="1"/>
  <c r="M4" i="185" s="1"/>
  <c r="N4" i="185" s="1"/>
  <c r="P4" i="185" s="1"/>
  <c r="Q4" i="185" s="1"/>
  <c r="R4" i="185" s="1"/>
  <c r="AQ5" i="185"/>
  <c r="Q3" i="124"/>
  <c r="R3" i="124"/>
  <c r="M4" i="124" s="1"/>
  <c r="AD27" i="125"/>
  <c r="AO4" i="125"/>
  <c r="AP4" i="125" s="1"/>
  <c r="AQ4" i="125" s="1"/>
  <c r="AR4" i="125" s="1"/>
  <c r="AT4" i="125" s="1"/>
  <c r="N4" i="137"/>
  <c r="A7" i="137"/>
  <c r="G46" i="192" l="1"/>
  <c r="O46" i="192" s="1"/>
  <c r="I61" i="192" s="1"/>
  <c r="P61" i="192" s="1"/>
  <c r="W61" i="192" s="1"/>
  <c r="C79" i="192" s="1"/>
  <c r="C67" i="192"/>
  <c r="V11" i="199"/>
  <c r="AE4" i="199"/>
  <c r="AF4" i="199" s="1"/>
  <c r="AG4" i="199" s="1"/>
  <c r="O6" i="170"/>
  <c r="L7" i="170"/>
  <c r="BY17" i="190"/>
  <c r="CS6" i="190"/>
  <c r="S4" i="185"/>
  <c r="T4" i="185" s="1"/>
  <c r="P23" i="185"/>
  <c r="S3" i="124"/>
  <c r="T3" i="124" s="1"/>
  <c r="AW4" i="125"/>
  <c r="AU11" i="125" s="1"/>
  <c r="AV4" i="125"/>
  <c r="AU4" i="125"/>
  <c r="AN21" i="125"/>
  <c r="AX4" i="125"/>
  <c r="AZ4" i="125" s="1"/>
  <c r="BA4" i="125" s="1"/>
  <c r="A8" i="137"/>
  <c r="C100" i="192" l="1"/>
  <c r="I79" i="192"/>
  <c r="O79" i="192" s="1"/>
  <c r="I94" i="192" s="1"/>
  <c r="P94" i="192" s="1"/>
  <c r="W94" i="192" s="1"/>
  <c r="AE13" i="199"/>
  <c r="AH4" i="199"/>
  <c r="AI4" i="199" s="1"/>
  <c r="AJ4" i="199" s="1"/>
  <c r="DJ6" i="190"/>
  <c r="DI6" i="190"/>
  <c r="R22" i="185"/>
  <c r="U4" i="185"/>
  <c r="L16" i="124"/>
  <c r="V3" i="124"/>
  <c r="W3" i="124" s="1"/>
  <c r="AW21" i="125"/>
  <c r="BB4" i="125"/>
  <c r="BC4" i="125" s="1"/>
  <c r="BD4" i="125" s="1"/>
  <c r="N6" i="137"/>
  <c r="A9" i="137"/>
  <c r="AH27" i="199" l="1"/>
  <c r="AK4" i="199"/>
  <c r="AM4" i="199" s="1"/>
  <c r="BF4" i="125"/>
  <c r="BE4" i="125"/>
  <c r="BA19" i="125" s="1"/>
  <c r="BG4" i="125"/>
  <c r="BE19" i="125" s="1"/>
  <c r="V4" i="185"/>
  <c r="W4" i="185" s="1"/>
  <c r="S23" i="185"/>
  <c r="Q19" i="124"/>
  <c r="AG3" i="124"/>
  <c r="AO3" i="124"/>
  <c r="AF3" i="124"/>
  <c r="Y16" i="124" s="1"/>
  <c r="Z3" i="124"/>
  <c r="Y3" i="124"/>
  <c r="X3" i="124"/>
  <c r="BH4" i="125"/>
  <c r="BI4" i="125" s="1"/>
  <c r="BJ4" i="125" s="1"/>
  <c r="BL4" i="125" s="1"/>
  <c r="A10" i="137"/>
  <c r="A11" i="137" s="1"/>
  <c r="A13" i="137" s="1"/>
  <c r="B15" i="137" s="1"/>
  <c r="C15" i="137" s="1"/>
  <c r="D15" i="137" s="1"/>
  <c r="E15" i="137" s="1"/>
  <c r="F15" i="137" s="1"/>
  <c r="G15" i="137" s="1"/>
  <c r="H15" i="137" s="1"/>
  <c r="I15" i="137" s="1"/>
  <c r="J15" i="137" s="1"/>
  <c r="K15" i="137" s="1"/>
  <c r="B13" i="137"/>
  <c r="AJ14" i="199" l="1"/>
  <c r="AN4" i="199"/>
  <c r="AO4" i="199" s="1"/>
  <c r="W12" i="185"/>
  <c r="AC4" i="185"/>
  <c r="X16" i="124"/>
  <c r="AF16" i="124"/>
  <c r="AP3" i="124"/>
  <c r="AQ3" i="124" s="1"/>
  <c r="BG15" i="125"/>
  <c r="BM4" i="125"/>
  <c r="BN4" i="125" s="1"/>
  <c r="I26" i="137"/>
  <c r="L15" i="137"/>
  <c r="M15" i="137" s="1"/>
  <c r="N15" i="137" s="1"/>
  <c r="AP4" i="199" l="1"/>
  <c r="AQ4" i="199"/>
  <c r="V21" i="185"/>
  <c r="AD4" i="185"/>
  <c r="AE4" i="185" s="1"/>
  <c r="AF4" i="185" s="1"/>
  <c r="AU3" i="124"/>
  <c r="AT3" i="124"/>
  <c r="AS3" i="124"/>
  <c r="AO14" i="124"/>
  <c r="AO12" i="124"/>
  <c r="AO17" i="124"/>
  <c r="AO10" i="124"/>
  <c r="V17" i="124"/>
  <c r="BL16" i="125"/>
  <c r="BO4" i="125"/>
  <c r="BP4" i="125" s="1"/>
  <c r="BQ4" i="125" s="1"/>
  <c r="BR4" i="125" s="1"/>
  <c r="BS4" i="125" s="1"/>
  <c r="BT4" i="125" s="1"/>
  <c r="BU4" i="125" s="1"/>
  <c r="BV4" i="125" s="1"/>
  <c r="BX4" i="125" s="1"/>
  <c r="BY4" i="125" s="1"/>
  <c r="BZ4" i="125" s="1"/>
  <c r="BF14" i="199"/>
  <c r="BI4" i="199"/>
  <c r="BG5" i="199" s="1"/>
  <c r="AK14" i="199" l="1"/>
  <c r="AR4" i="199"/>
  <c r="AS4" i="199" s="1"/>
  <c r="CA4" i="125"/>
  <c r="CE4" i="125" s="1"/>
  <c r="BX16" i="125"/>
  <c r="AP4" i="185"/>
  <c r="AF14" i="185"/>
  <c r="AY3" i="124"/>
  <c r="AR17" i="124"/>
  <c r="AT4" i="199" l="1"/>
  <c r="AU4" i="199" s="1"/>
  <c r="AV4" i="199" s="1"/>
  <c r="AW4" i="199" s="1"/>
  <c r="AY4" i="199" s="1"/>
  <c r="AQ14" i="199"/>
  <c r="CB4" i="125"/>
  <c r="AQ4" i="185"/>
  <c r="W11" i="185"/>
  <c r="AA16" i="185"/>
  <c r="AO13" i="185"/>
  <c r="AO15" i="185"/>
  <c r="AR4" i="185"/>
  <c r="B4" i="186" s="1"/>
  <c r="AQ16" i="124"/>
  <c r="AZ3" i="124"/>
  <c r="BA3" i="124" s="1"/>
  <c r="AU11" i="199" l="1"/>
  <c r="AZ4" i="199"/>
  <c r="BA4" i="199" s="1"/>
  <c r="T20" i="185"/>
  <c r="AR24" i="185"/>
  <c r="N21" i="185"/>
  <c r="D4" i="186"/>
  <c r="F4" i="186" s="1"/>
  <c r="G4" i="186" s="1"/>
  <c r="H4" i="186" s="1"/>
  <c r="I4" i="186" s="1"/>
  <c r="J4" i="186" s="1"/>
  <c r="Q22" i="185"/>
  <c r="BC3" i="124"/>
  <c r="BD3" i="124" s="1"/>
  <c r="AY13" i="124"/>
  <c r="AY12" i="124"/>
  <c r="AY11" i="124"/>
  <c r="BB4" i="199" l="1"/>
  <c r="BC4" i="199" s="1"/>
  <c r="BD4" i="199" s="1"/>
  <c r="BE4" i="199" s="1"/>
  <c r="BF4" i="199" s="1"/>
  <c r="AY14" i="199"/>
  <c r="K4" i="186"/>
  <c r="L4" i="186" s="1"/>
  <c r="N4" i="186" s="1"/>
  <c r="O4" i="186" s="1"/>
  <c r="H17" i="186"/>
  <c r="BP3" i="124"/>
  <c r="BQ3" i="124"/>
  <c r="BR3" i="124" s="1"/>
  <c r="BS3" i="124" s="1"/>
  <c r="BT3" i="124" s="1"/>
  <c r="BU3" i="124" s="1"/>
  <c r="BV3" i="124" s="1"/>
  <c r="BX3" i="124" s="1"/>
  <c r="BY3" i="124" s="1"/>
  <c r="BZ3" i="124" s="1"/>
  <c r="CA3" i="124" s="1"/>
  <c r="CB3" i="124" s="1"/>
  <c r="BC11" i="199" l="1"/>
  <c r="BG4" i="199"/>
  <c r="R4" i="186"/>
  <c r="Q4" i="186"/>
  <c r="AU23" i="124"/>
  <c r="CC3" i="124"/>
  <c r="CD3" i="124" s="1"/>
  <c r="S4" i="186" l="1"/>
  <c r="T4" i="186" s="1"/>
  <c r="O20" i="186"/>
  <c r="O18" i="186"/>
  <c r="O10" i="186"/>
  <c r="CB12" i="124"/>
  <c r="CE3" i="124"/>
  <c r="CF3" i="124" s="1"/>
  <c r="CA23" i="124" s="1"/>
  <c r="CB11" i="124"/>
  <c r="CB13" i="124"/>
  <c r="R15" i="186" l="1"/>
  <c r="U4" i="186"/>
  <c r="X4" i="186" s="1"/>
  <c r="Y4" i="186" s="1"/>
  <c r="AF4" i="186" s="1"/>
  <c r="X19" i="186" l="1"/>
  <c r="AG4" i="186"/>
  <c r="AF21" i="186" l="1"/>
  <c r="AO4" i="186"/>
  <c r="Q23" i="186" l="1"/>
  <c r="AM15" i="186"/>
  <c r="AR16" i="186" l="1"/>
  <c r="AZ15" i="186"/>
  <c r="D4" i="187" l="1"/>
  <c r="F4" i="187" s="1"/>
  <c r="G4" i="187" s="1"/>
  <c r="H4" i="187" s="1"/>
  <c r="I4" i="187" s="1"/>
  <c r="J4" i="187" s="1"/>
  <c r="L4" i="187" s="1"/>
  <c r="O4" i="187" s="1"/>
  <c r="P4" i="187" s="1"/>
  <c r="V4" i="187" s="1"/>
  <c r="O19" i="187" l="1"/>
  <c r="W4" i="187"/>
  <c r="AC4" i="187" s="1"/>
  <c r="V21" i="187" l="1"/>
  <c r="AE4" i="187"/>
</calcChain>
</file>

<file path=xl/sharedStrings.xml><?xml version="1.0" encoding="utf-8"?>
<sst xmlns="http://schemas.openxmlformats.org/spreadsheetml/2006/main" count="4621" uniqueCount="2761">
  <si>
    <t>REPUBLIQUE [NOM DU PAYS]</t>
  </si>
  <si>
    <t>MINISTERE DE L'ECONOMIE ET DES FINANCES</t>
  </si>
  <si>
    <t>INSTITUT NATIONAL DE LA STATISTIQUE</t>
  </si>
  <si>
    <t>IDENTIFIANT DU MENAGE</t>
  </si>
  <si>
    <t>GRAPPE</t>
  </si>
  <si>
    <t>MENAGE</t>
  </si>
  <si>
    <t>VAGUE</t>
  </si>
  <si>
    <t>ENQUÊTE HARMONISEE SUR LES CONDITIONS DE VIE DES MENAGES 2021/2022</t>
  </si>
  <si>
    <t xml:space="preserve">AVEC L'APPUI DE LA COMMISSION DE L'UEMOA ET DE LA BANQUE MONDIALE </t>
  </si>
  <si>
    <t xml:space="preserve">QUESTIONNAIRE MENAGE </t>
  </si>
  <si>
    <t>Coordonnées GPS du ménage</t>
  </si>
  <si>
    <t>Sous quel format l'interview a-t-il été effectué?</t>
  </si>
  <si>
    <t>PAPI</t>
  </si>
  <si>
    <t>Latitude</t>
  </si>
  <si>
    <t>N</t>
  </si>
  <si>
    <t>CAPI</t>
  </si>
  <si>
    <t>Longitude</t>
  </si>
  <si>
    <t>W</t>
  </si>
  <si>
    <t>Quel est le rang de la visite ?</t>
  </si>
  <si>
    <t>Première visite</t>
  </si>
  <si>
    <t>Deuxième visite</t>
  </si>
  <si>
    <t>Prénom et nom du chef de ménage:</t>
  </si>
  <si>
    <t>Troisième visite</t>
  </si>
  <si>
    <t>Adresse (localisation) du ménage:</t>
  </si>
  <si>
    <t>CONFIDENTIEL : La Loi No......... régissant les statistiques publiques fait obligation aux personnes physiques et morales de répondre aux Enquêtes Statistiques Officielles. Elle garantit aussi la confidentialité des réponses individuelles par des sanctions aux contrevenants prévues au Code Pénal.</t>
  </si>
  <si>
    <t>TABLE DES MATIERES</t>
  </si>
  <si>
    <t>RENSEIGNEMENTS DE CONTRÔLE</t>
  </si>
  <si>
    <t>ENTREPRISES NON AGRICOLES</t>
  </si>
  <si>
    <t>A  Identification du ménage</t>
  </si>
  <si>
    <t>A  Existence d'entreprises non-agricoles</t>
  </si>
  <si>
    <t>B  Contacts du ménage</t>
  </si>
  <si>
    <t>B  Caractéristiques des entreprises non-agricoles</t>
  </si>
  <si>
    <t>C  Renseignements de contrôle</t>
  </si>
  <si>
    <t>CARACTERISTIQUES SOCIODEMOGRAPHIQUES DES MEMBRES DU MENAGE</t>
  </si>
  <si>
    <t>LOGEMENT</t>
  </si>
  <si>
    <t>EDUCATION (INDIVIDUS AGES DE 3 ANS ET PLUS)</t>
  </si>
  <si>
    <t>ACTIFS DU MENAGE</t>
  </si>
  <si>
    <t>SANTE GENERALE</t>
  </si>
  <si>
    <t>TRANSFERTS</t>
  </si>
  <si>
    <t>EMPLOI (INDIVIDUS AGES DE 5 ANS ET PLUS)</t>
  </si>
  <si>
    <t>A  Transfers reçus par le ménage</t>
  </si>
  <si>
    <t>A  Situation en rapport avec l'activité</t>
  </si>
  <si>
    <t>CHOCS ET STRATEGIES DE SURVIE</t>
  </si>
  <si>
    <t>B  Emploi Principal au cours des 12 derniers mois</t>
  </si>
  <si>
    <t>A  COVID-19 ET IMPACT SUR LES MENAGES</t>
  </si>
  <si>
    <t>C  Emploi Secondaire au cours des 12 derniers mois</t>
  </si>
  <si>
    <t>B CHOCS ET STRATEGIES DE SURVIE</t>
  </si>
  <si>
    <t>REVENUS HORS EMPLOI AU COURS DES 12 DERNIERS MOIS</t>
  </si>
  <si>
    <t>FILETS DE SECURITE</t>
  </si>
  <si>
    <t>EPARGNE ET CREDIT</t>
  </si>
  <si>
    <t>AGRICULTURE</t>
  </si>
  <si>
    <t>CONSOMMATION ALIMENTAIRE DES 7 DERNIERS JOURS</t>
  </si>
  <si>
    <t>A  Parcelles</t>
  </si>
  <si>
    <t>A  Repas pris à l'extérieur du ménage au cours des 7 derniers jours</t>
  </si>
  <si>
    <t>B  Cout des intrants</t>
  </si>
  <si>
    <t>B Consommation alimentaire des 7 derniers jours et achat des 30 derniers jours</t>
  </si>
  <si>
    <t>C  Cultures</t>
  </si>
  <si>
    <t>SECURITE ALIMENTAIRE</t>
  </si>
  <si>
    <t>D Utilisation de la production</t>
  </si>
  <si>
    <t>A  Echelle d'expérience d'insécurité alimentaire</t>
  </si>
  <si>
    <t>ELEVAGE</t>
  </si>
  <si>
    <t>PÊCHE</t>
  </si>
  <si>
    <t>DÉPENSES RÉTROSPECTIVES ALIMENTAIRES ET NON ALIMENTAIRES DU MÉNAGE</t>
  </si>
  <si>
    <t>EQUIPEMENTS AGRICOLES</t>
  </si>
  <si>
    <t>A  Dépenses des fêtes et cérémonies au cours des 12 derniers mois</t>
  </si>
  <si>
    <t>LISTE EXHAUSTIVE DES UNITES POUR LA SECTION 7B</t>
  </si>
  <si>
    <t>B  Dépenses non alimentaires au cours des 7 derniers jours</t>
  </si>
  <si>
    <t>NOMENCLATURE DES CULTURES POUR LA SECTION 16A</t>
  </si>
  <si>
    <t>C  Dépenses non alimentaires au cours des 30 derniers jours</t>
  </si>
  <si>
    <t>OBSERVATIONS</t>
  </si>
  <si>
    <t>D  Dépenses non alimentaires au cours des 3 derniers mois</t>
  </si>
  <si>
    <t>E  Dépenses non alimentaires au cours des 6 derniers mois</t>
  </si>
  <si>
    <t>F  Dépenses non alimentaires au cours des 12 derniers mois</t>
  </si>
  <si>
    <t>SECTION 0: IDENTIFICATION DU MENAGE ET RENSEIGNEMENTS DE CONTROLE</t>
  </si>
  <si>
    <t>A</t>
  </si>
  <si>
    <t xml:space="preserve">Identification du ménage </t>
  </si>
  <si>
    <t>01.-</t>
  </si>
  <si>
    <t xml:space="preserve">Région </t>
  </si>
  <si>
    <t>NOM:</t>
  </si>
  <si>
    <t>CODE:</t>
  </si>
  <si>
    <t>02.-</t>
  </si>
  <si>
    <t>Département</t>
  </si>
  <si>
    <t>03.-</t>
  </si>
  <si>
    <t>Commune</t>
  </si>
  <si>
    <t>04.-</t>
  </si>
  <si>
    <t>Milieu de résidence</t>
  </si>
  <si>
    <t>1. Urbain                              2. Rural</t>
  </si>
  <si>
    <t>05.-</t>
  </si>
  <si>
    <t>Village/Quartier</t>
  </si>
  <si>
    <t>06.-</t>
  </si>
  <si>
    <t>Nº de la Zone de dénombrement (ZD)</t>
  </si>
  <si>
    <t>07.-</t>
  </si>
  <si>
    <t>Numéro du ménage dans la ZD</t>
  </si>
  <si>
    <t>07A.-</t>
  </si>
  <si>
    <t>Type de ménage</t>
  </si>
  <si>
    <t>07B.-</t>
  </si>
  <si>
    <t>Le ménage a t-il été interviewé lors de l'enquête ménage en 2018/2019</t>
  </si>
  <si>
    <t xml:space="preserve">1. Oui </t>
  </si>
  <si>
    <t>2. Non ►0.08</t>
  </si>
  <si>
    <t>07C.-</t>
  </si>
  <si>
    <t>Le ménage occupait-il le même logement lors de l’enquête de 2018/19</t>
  </si>
  <si>
    <t>Numéro de Grappe en 2018/2019</t>
  </si>
  <si>
    <t>Numéro du ménage en 2018/2019</t>
  </si>
  <si>
    <t>08.-</t>
  </si>
  <si>
    <t>Résultat de l'interview</t>
  </si>
  <si>
    <t>1=Rempli, ménage sélectionné ►(0.10)    2=Rempli, ménage de remplacement ►(0.10)   3=Non rempli</t>
  </si>
  <si>
    <t>09.-</t>
  </si>
  <si>
    <t>Motif</t>
  </si>
  <si>
    <t>1=Refus    2=Absent    3=Logement Vacant        ►►(Fin du questionnaire)</t>
  </si>
  <si>
    <t>B</t>
  </si>
  <si>
    <t>Contact du ménage</t>
  </si>
  <si>
    <t>10.-</t>
  </si>
  <si>
    <t>Prénom et Nom du  chef de ménage</t>
  </si>
  <si>
    <t>11.-</t>
  </si>
  <si>
    <t>Adresse (localisation) du ménage</t>
  </si>
  <si>
    <t>12A.-</t>
  </si>
  <si>
    <t>Premier Numéro de téléphone portable du chef de ménage</t>
  </si>
  <si>
    <t>NUMERO:</t>
  </si>
  <si>
    <t xml:space="preserve">12B.- </t>
  </si>
  <si>
    <t>Deuxème Numéro de téléphone portable du chef de ménage</t>
  </si>
  <si>
    <t>13.-</t>
  </si>
  <si>
    <t>Nom d'un autre membre du ménage possédant un numéro de téléphone portable</t>
  </si>
  <si>
    <t>14.-</t>
  </si>
  <si>
    <t>Numéro de téléphone portable de cet autre membre du ménage</t>
  </si>
  <si>
    <t>15.-</t>
  </si>
  <si>
    <t>Nom d'un premier contact non membre du ménage possédant un numéro de téléphone portable</t>
  </si>
  <si>
    <t>16.-</t>
  </si>
  <si>
    <t>Numéro de téléphone portable de cet autre personne</t>
  </si>
  <si>
    <t>17.-</t>
  </si>
  <si>
    <t>Nom d'un second contact non membre du ménage possédant un numéro de téléphone portable</t>
  </si>
  <si>
    <t>18.-</t>
  </si>
  <si>
    <t>C</t>
  </si>
  <si>
    <t>Renseignements de contrôle</t>
  </si>
  <si>
    <t>19.-</t>
  </si>
  <si>
    <t>Prénom et nom de l'agent enquêteur</t>
  </si>
  <si>
    <t>20.-</t>
  </si>
  <si>
    <t>Prénom et nom du contrôleur</t>
  </si>
  <si>
    <t>21.-</t>
  </si>
  <si>
    <t>Prénom et nom de l'agent de vérification</t>
  </si>
  <si>
    <t>22.-</t>
  </si>
  <si>
    <t>Nombre de visites nécessaires pour administrer le questionnaire</t>
  </si>
  <si>
    <t>NOMBRE</t>
  </si>
  <si>
    <t>Jour</t>
  </si>
  <si>
    <t>Mois</t>
  </si>
  <si>
    <t>Année</t>
  </si>
  <si>
    <t>Heure/Minutes de Début</t>
  </si>
  <si>
    <t>Heure/Minutes de Fin</t>
  </si>
  <si>
    <t>23.-</t>
  </si>
  <si>
    <t>Collecte - Visite 1</t>
  </si>
  <si>
    <t>24.-</t>
  </si>
  <si>
    <t>Collecte - Visite 2</t>
  </si>
  <si>
    <t>25.-</t>
  </si>
  <si>
    <t>Collecte - Visite 3</t>
  </si>
  <si>
    <t>26.-</t>
  </si>
  <si>
    <t>Contrôle</t>
  </si>
  <si>
    <t>27.-</t>
  </si>
  <si>
    <t>Résultat du questionnaire</t>
  </si>
  <si>
    <t xml:space="preserve">1=Complet                         2=Partiel </t>
  </si>
  <si>
    <t>28.-</t>
  </si>
  <si>
    <t xml:space="preserve">Langue de l'interview: 1=  2= 3=  4=  5=  6 =  7=   8=  9 =Autre Langue </t>
  </si>
  <si>
    <t>29.-</t>
  </si>
  <si>
    <t>Nombre de questionnaires utilisés dans le ménage</t>
  </si>
  <si>
    <t>NOMBRE:</t>
  </si>
  <si>
    <t>30.-</t>
  </si>
  <si>
    <t>Rang du présent questionnaire parmi les questionnaires utilisés dans le ménage</t>
  </si>
  <si>
    <t>RANG:</t>
  </si>
  <si>
    <t>31.-</t>
  </si>
  <si>
    <t>Nombre de personnes membres du ménage</t>
  </si>
  <si>
    <t>LISTE DES MEMBRES - FLAP</t>
  </si>
  <si>
    <t>SECTION 1 : CARACTERISTIQUES SOCIODEMOGRAPHIQUES DES MEMBRES DU MÉNAGE</t>
  </si>
  <si>
    <t>CODE ID</t>
  </si>
  <si>
    <t>ORDRE D'ENREGISTREMENT</t>
  </si>
  <si>
    <t>CODE ID du répondant</t>
  </si>
  <si>
    <t>Depuis quand [NOM] habite-t- il le ménage?</t>
  </si>
  <si>
    <t>Pourquoi [NOM] est-il venu vivre dans ce ménage ou n'a-t-il pas été enquêté en 2018/2019?</t>
  </si>
  <si>
    <t>[NOM] vit-il toujours dans ce ménage?</t>
  </si>
  <si>
    <t xml:space="preserve">Pour quelle raison [NOM] ne vit-il plus dans le ménage? </t>
  </si>
  <si>
    <t>Depuis quand [NOM] est-il parti du ménage?</t>
  </si>
  <si>
    <t>Quel est le sexe de [NOM] ?</t>
  </si>
  <si>
    <t>Quel est le lien de parenté de [NOM] avec le chef de ménage?</t>
  </si>
  <si>
    <t>Quelle est la date de naissance de [NOM]?</t>
  </si>
  <si>
    <t>Quel âge avait [NOM] à son dernier anniversaire?</t>
  </si>
  <si>
    <t>Est-ce que [NOM] dispose d'un acte de naissance?</t>
  </si>
  <si>
    <t>A-t-on montré l'acte de naissance?</t>
  </si>
  <si>
    <r>
      <rPr>
        <b/>
        <sz val="9"/>
        <rFont val="Arial Narrow"/>
        <family val="2"/>
      </rPr>
      <t>Pour les personnes âgées de 10 ans et plus</t>
    </r>
    <r>
      <rPr>
        <sz val="9"/>
        <rFont val="Arial Narrow"/>
        <family val="2"/>
      </rPr>
      <t>, quelle est la situation matrimoniale de [NOM]?</t>
    </r>
  </si>
  <si>
    <t>Le(s) conjoint(s) de [NOM] vit-il (ou vivent-ils) dans le ménage?</t>
  </si>
  <si>
    <t>Quel est (sont) le(s) code(s) ID du (ou des) conjoint(s) de [NOM]?</t>
  </si>
  <si>
    <t>A quel âge [NOM] s'est-il/elle mariée pour la première fois?</t>
  </si>
  <si>
    <t>[NOM] est-il présent au moment de l'enquête?</t>
  </si>
  <si>
    <t>[NOM] vit-il de manière continue dans ce ménage depuis au moins 6 mois?</t>
  </si>
  <si>
    <t>Quelle était la raison du voyage de [NOM] ?</t>
  </si>
  <si>
    <t>Quelle est la religion de [NOM]?</t>
  </si>
  <si>
    <t>De quelle nationalité est [NOM]?</t>
  </si>
  <si>
    <t>Pour les nationnaux, quelle est l'ethnie de [NOM]?</t>
  </si>
  <si>
    <t>[NOM] est-il né à [localité de résidence]?</t>
  </si>
  <si>
    <t>[NOM] a-t-il déjà vécu dans une autre localité pendant plus de 6 mois ?</t>
  </si>
  <si>
    <t>Quelle est la dernière localité où [NOM] a vécu avant de venir vivre ici?
Pour les INS désireux d'intégrér des détails, il faut adapter les codes autres urbain et milieu rural avec les modalités du niveau administratif voulu</t>
  </si>
  <si>
    <t>Combien d'années [NOM] a vécu dans cette localité avant de venir vivre ici?</t>
  </si>
  <si>
    <t>Quelle était la raison principale pour laquelle [NOM] est venu vivre dans cette localité?</t>
  </si>
  <si>
    <t>Depuis combien d’années [NOM] vit-il/elle à [localité de résidence] ?</t>
  </si>
  <si>
    <t>Le père de [NOM] habite-t-il dans le ménage?</t>
  </si>
  <si>
    <t>ECRIRE LE CODE ID DU PERE DE [NOM]</t>
  </si>
  <si>
    <t>Le père  de  [NOM] est-il en vie?</t>
  </si>
  <si>
    <t>Quel est le niveau d'instruction le plus élevé atteint par le père  de  [NOM]?</t>
  </si>
  <si>
    <t>Dans quelle branche d'activité le père de [NOM] a-t-il travaillé principalement?</t>
  </si>
  <si>
    <t>Quelle était la catégorie socioprofessionnelle du père de [NOM]?</t>
  </si>
  <si>
    <t>Quel était le secteur institutionnel du père de [NOM]?</t>
  </si>
  <si>
    <t>La mère de [NOM] habite-t-elle dans le ménage?</t>
  </si>
  <si>
    <t>ECRIRE LE CODE ID DE LA MERE DE (NOM)</t>
  </si>
  <si>
    <t>La mère  de  [NOM] est-elle en vie?</t>
  </si>
  <si>
    <t>Quel est le niveau d'instruction le plus élevé atteint par la mère  de  [NOM]?</t>
  </si>
  <si>
    <t>Dans quelle branche d'activité la mère de [NOM] a-t-elle travaillé principalement?</t>
  </si>
  <si>
    <t>Quelle était la catégorie socioprofessionnelle de la mère de [NOM]?</t>
  </si>
  <si>
    <t>Quel était le secteur institutionnel de la mère de [NOM]?</t>
  </si>
  <si>
    <t>Pour les individus de 10 ans et plus, [NOM] possède t-il un téléphone portable?</t>
  </si>
  <si>
    <t>Combien a-t-il dépensé pour les cartes prépayées y compris les transferts de crédit au cours des 7 derniers jours (hors abonnement mensuel)?</t>
  </si>
  <si>
    <r>
      <t xml:space="preserve">[NOM] a t-il accèss à internet ?                                             </t>
    </r>
    <r>
      <rPr>
        <b/>
        <sz val="9"/>
        <rFont val="Arial Narrow"/>
        <family val="2"/>
      </rPr>
      <t>Inscrire 1 pour OUI et 2 pour NON</t>
    </r>
  </si>
  <si>
    <t>01=</t>
  </si>
  <si>
    <t>1 Visiteur (pour moins de 6 mois) 
2 Nouveau né
3 Enfant adopté ou placé
4 Mariage
5 Divorce/Séparation
6 Poursuivre les études
7 Fin des études, revient dans la famille 
8 Affectation ou nouvel emploi
9 Chercher du travail ailleurs
10 Perte de son emploi
11 A cause du COVID-19
12 Autre raison (santé, famille, etc.)
13 Oublié lors de l'enquête de 2018/2019</t>
  </si>
  <si>
    <r>
      <t xml:space="preserve">Pour  les enfants de moins de 5 ans (0 à 59 mois) âge en  mois et en année; </t>
    </r>
    <r>
      <rPr>
        <b/>
        <sz val="9"/>
        <rFont val="Arial Narrow"/>
        <family val="2"/>
      </rPr>
      <t>par exemple pour un enfant de 2 ans 6 mois, inscrire 2 dans la colonne ANS et 6 dans la colonne MOIS</t>
    </r>
    <r>
      <rPr>
        <sz val="9"/>
        <rFont val="Arial Narrow"/>
        <family val="2"/>
      </rPr>
      <t>.  Pour les personnes de 5 ans et plus, âge en années au dernier anniversaire.</t>
    </r>
  </si>
  <si>
    <t>1 Musulman</t>
  </si>
  <si>
    <t>01 Bénin</t>
  </si>
  <si>
    <t>02=</t>
  </si>
  <si>
    <t>1 Visite à des parents ou amis dans le pays
2 Visite à des parents ou amis à l'étranger
3 Affectation ou autre emploi ailleurs dans le pays
4 Affectation ou autre emploi à l'étranger 
5 Poursuivre ses études ailleurs dans le pays
6 Poursuivre ses études hors du pays
7 Voyage pour son entreprise ou commerce ailleurs dans le pays
8 Voyage pour son entreprise ou commerce hors du pays</t>
  </si>
  <si>
    <t>2 Chrétien</t>
  </si>
  <si>
    <t>02 Burkina Faso</t>
  </si>
  <si>
    <t>03=</t>
  </si>
  <si>
    <t>1 Oui</t>
  </si>
  <si>
    <t>1 Masculin</t>
  </si>
  <si>
    <t xml:space="preserve"> 01 Chef de ménage</t>
  </si>
  <si>
    <t xml:space="preserve"> 1 Présent vu</t>
  </si>
  <si>
    <t>3 Animiste</t>
  </si>
  <si>
    <t>03 Cape-vert</t>
  </si>
  <si>
    <t>04=</t>
  </si>
  <si>
    <t>01 Capitale</t>
  </si>
  <si>
    <r>
      <t>1</t>
    </r>
    <r>
      <rPr>
        <sz val="9"/>
        <rFont val="Arial Narrow"/>
        <family val="2"/>
      </rPr>
      <t xml:space="preserve"> Aucun</t>
    </r>
  </si>
  <si>
    <t>Salarié</t>
  </si>
  <si>
    <t>1 Administration publique</t>
  </si>
  <si>
    <t>D</t>
  </si>
  <si>
    <t>E</t>
  </si>
  <si>
    <t>2 Non</t>
  </si>
  <si>
    <t>2 Féminin</t>
  </si>
  <si>
    <t xml:space="preserve"> 02 Conjoint ( e )</t>
  </si>
  <si>
    <t xml:space="preserve"> 2 Présent non vu</t>
  </si>
  <si>
    <t>4 Autre Réligion</t>
  </si>
  <si>
    <t>04 Cote d'ivoire</t>
  </si>
  <si>
    <t>05=</t>
  </si>
  <si>
    <t>200 Autre urbain</t>
  </si>
  <si>
    <r>
      <t>2</t>
    </r>
    <r>
      <rPr>
        <sz val="9"/>
        <rFont val="Arial Narrow"/>
        <family val="2"/>
      </rPr>
      <t xml:space="preserve">  Primaire</t>
    </r>
  </si>
  <si>
    <t>1 Cadre supérieur</t>
  </si>
  <si>
    <t>Sur téléphone</t>
  </si>
  <si>
    <t>Au bureau</t>
  </si>
  <si>
    <t>Au Cyber café</t>
  </si>
  <si>
    <t>A domicile</t>
  </si>
  <si>
    <t>A l'école/Université</t>
  </si>
  <si>
    <t xml:space="preserve"> 03 Fils, Fille</t>
  </si>
  <si>
    <t>2 Marié(e) monogame</t>
  </si>
  <si>
    <t xml:space="preserve"> 3 Absent</t>
  </si>
  <si>
    <t>5 Sans Réligion</t>
  </si>
  <si>
    <t xml:space="preserve">05 Gambie </t>
  </si>
  <si>
    <t>06=</t>
  </si>
  <si>
    <t>300 Milieu rural</t>
  </si>
  <si>
    <r>
      <t>3</t>
    </r>
    <r>
      <rPr>
        <sz val="9"/>
        <rFont val="Arial Narrow"/>
        <family val="2"/>
      </rPr>
      <t xml:space="preserve"> Secondaire 1er cycle</t>
    </r>
  </si>
  <si>
    <t>1 Agriculture, Elevage, Pêche…</t>
  </si>
  <si>
    <t>2 Cadre moyen</t>
  </si>
  <si>
    <t>2 Entreprise publique</t>
  </si>
  <si>
    <t xml:space="preserve"> 04 Père, Mère</t>
  </si>
  <si>
    <t xml:space="preserve"> 1 Oui</t>
  </si>
  <si>
    <t>3 Marié(e) polygame</t>
  </si>
  <si>
    <t>06 Ghana</t>
  </si>
  <si>
    <t>07=</t>
  </si>
  <si>
    <t>04 Bénin</t>
  </si>
  <si>
    <r>
      <t>4</t>
    </r>
    <r>
      <rPr>
        <sz val="9"/>
        <rFont val="Arial Narrow"/>
        <family val="2"/>
      </rPr>
      <t xml:space="preserve"> Secondaire 2nd cycle</t>
    </r>
  </si>
  <si>
    <t>3 Ouvrier ou employé qualifié</t>
  </si>
  <si>
    <t xml:space="preserve"> 05 Petit fils, petite fille</t>
  </si>
  <si>
    <t xml:space="preserve"> 2 Non</t>
  </si>
  <si>
    <t>4 Union libre</t>
  </si>
  <si>
    <t>07 Guinee</t>
  </si>
  <si>
    <t>08=</t>
  </si>
  <si>
    <t>05 Burkina Faso</t>
  </si>
  <si>
    <r>
      <t>5</t>
    </r>
    <r>
      <rPr>
        <sz val="9"/>
        <rFont val="Arial Narrow"/>
        <family val="2"/>
      </rPr>
      <t xml:space="preserve"> Supérieur</t>
    </r>
  </si>
  <si>
    <t>2 Mines, carrières</t>
  </si>
  <si>
    <t>4 Ouvrier ou employé simple</t>
  </si>
  <si>
    <t>3 Grande entreprise privée</t>
  </si>
  <si>
    <t xml:space="preserve"> 06 Grand-parents</t>
  </si>
  <si>
    <t>08 Guinée Bissau</t>
  </si>
  <si>
    <t>09=</t>
  </si>
  <si>
    <t>06 Cape-vert</t>
  </si>
  <si>
    <r>
      <t xml:space="preserve">6 </t>
    </r>
    <r>
      <rPr>
        <sz val="9"/>
        <rFont val="Arial Narrow"/>
        <family val="2"/>
      </rPr>
      <t>NSP</t>
    </r>
  </si>
  <si>
    <t>3 Industries, électricité, eau</t>
  </si>
  <si>
    <t>5 Manœuvre</t>
  </si>
  <si>
    <t xml:space="preserve"> 07 Frère, sœur</t>
  </si>
  <si>
    <t>Si [NOM] dispose d'un acte de naissance veillez, à ce que la date relevée est conforme à 1.03</t>
  </si>
  <si>
    <t>09 Liberia</t>
  </si>
  <si>
    <t>10=Autres ethnies</t>
  </si>
  <si>
    <t>07 Cote d'ivoire</t>
  </si>
  <si>
    <t>Non Salarié</t>
  </si>
  <si>
    <t>4 Entreprise individuelle</t>
  </si>
  <si>
    <t>08 Neveu/Nièce</t>
  </si>
  <si>
    <t>10 Mali</t>
  </si>
  <si>
    <t>11 = Naturalisé</t>
  </si>
  <si>
    <t xml:space="preserve">08 Gambie </t>
  </si>
  <si>
    <t>4 Construction</t>
  </si>
  <si>
    <t>6 Patron</t>
  </si>
  <si>
    <t>11 Niger</t>
  </si>
  <si>
    <t>09 Ghana</t>
  </si>
  <si>
    <t>5 Commerce</t>
  </si>
  <si>
    <t>7 Travailleur pour compte propre</t>
  </si>
  <si>
    <t xml:space="preserve">5 Entreprise associative
</t>
  </si>
  <si>
    <t xml:space="preserve">
5 Entreprise associative</t>
  </si>
  <si>
    <t xml:space="preserve"> 09 Autres Parents du CM/Conjoint</t>
  </si>
  <si>
    <t>12 Nigeria</t>
  </si>
  <si>
    <t>10 Guinee</t>
  </si>
  <si>
    <t>6 Transport</t>
  </si>
  <si>
    <t>8 Autre (aide familial, apprenti)</t>
  </si>
  <si>
    <t>13 Sénégal</t>
  </si>
  <si>
    <t>11 Guinée Bissau</t>
  </si>
  <si>
    <t>7 Restauration, hôtel</t>
  </si>
  <si>
    <t>6 Organisme International/ ONG</t>
  </si>
  <si>
    <t>9 NSP</t>
  </si>
  <si>
    <t>10 Personne non apparentée au CM/conjoint</t>
  </si>
  <si>
    <t>14 Serra-leonne</t>
  </si>
  <si>
    <t>12 Liberia</t>
  </si>
  <si>
    <t>8 Arts et spectacles</t>
  </si>
  <si>
    <t>15 Togo</t>
  </si>
  <si>
    <t>13 Mali</t>
  </si>
  <si>
    <t>9 Services</t>
  </si>
  <si>
    <t>7 Ménage</t>
  </si>
  <si>
    <t>16 Autre CEDEAO</t>
  </si>
  <si>
    <t>14 Niger</t>
  </si>
  <si>
    <t>10 NSP</t>
  </si>
  <si>
    <t>7 Mé nage</t>
  </si>
  <si>
    <t>8 NSP</t>
  </si>
  <si>
    <t xml:space="preserve"> (Par rapport à la date de l'enquête)
</t>
  </si>
  <si>
    <t>17 Autre Afrique</t>
  </si>
  <si>
    <t>[INS: Fournir les codes pour les ethnies. Si l'ethnie est problématique, alors on met la nationalité pour tous]</t>
  </si>
  <si>
    <t>15 Nigeria</t>
  </si>
  <si>
    <t>18 Autre pays hors Afrique</t>
  </si>
  <si>
    <t>16 Sénégal</t>
  </si>
  <si>
    <t>17 Serra-leonne</t>
  </si>
  <si>
    <t>11 Domestique/enfant confié ou parent du domestique</t>
  </si>
  <si>
    <t>18 Togo</t>
  </si>
  <si>
    <t>NSP</t>
  </si>
  <si>
    <t>19 Autre Afrique</t>
  </si>
  <si>
    <t>20 Autre pays hors Afrique</t>
  </si>
  <si>
    <t>PRENOMS ET NOMS</t>
  </si>
  <si>
    <t>CODE</t>
  </si>
  <si>
    <t>MOIS</t>
  </si>
  <si>
    <t>ANNÉE</t>
  </si>
  <si>
    <t>JOUR</t>
  </si>
  <si>
    <t>ANS</t>
  </si>
  <si>
    <t>ID</t>
  </si>
  <si>
    <t xml:space="preserve">CODE </t>
  </si>
  <si>
    <t>FCFA</t>
  </si>
  <si>
    <t>a</t>
  </si>
  <si>
    <t>b</t>
  </si>
  <si>
    <t>c</t>
  </si>
  <si>
    <t>d</t>
  </si>
  <si>
    <t>e</t>
  </si>
  <si>
    <t>f</t>
  </si>
  <si>
    <t>SECTION 2: EDUCATION (INDIVIDUS AGES DE 3 ANS ET PLUS)</t>
  </si>
  <si>
    <t>[NOM] peut-il/elle lire un petit texte dans les langues suivantes?</t>
  </si>
  <si>
    <t>[NOM] peut-il/elle écrire un petit texte dans les langues suivantes?</t>
  </si>
  <si>
    <t>[NOM] arrive-t-il/elle à comprendre un petit texte lu dans les langues suivantes?</t>
  </si>
  <si>
    <t>[NOM] a-t-il/elle fait ou fait-il/elle des études actuellement dans une école formelle?</t>
  </si>
  <si>
    <t>[NOM] commencera t-il/elle l'école lorsque la situation sera meilleure?</t>
  </si>
  <si>
    <t>Est ce que [NOM] a suivi une école non formelle ou une formation non-formelle?</t>
  </si>
  <si>
    <t>Quel type d'éducation non-formelle [NOM] a fréquenté?</t>
  </si>
  <si>
    <t>Quel âge avait [NOM] quand il (elle) est entré (e) à l'école?</t>
  </si>
  <si>
    <t>Pour quelle raison [NOM] a-t-il/elle abandonné l'école en cours d'année?</t>
  </si>
  <si>
    <t>La raison pour laquelle [NOM] n'a pas été à l'école est elle liée à la  COVID-19?</t>
  </si>
  <si>
    <t>Comment la COVID-19 a modifié la scolarité de [NOM]?</t>
  </si>
  <si>
    <t>[NOM] a t-il/elle l'intention de reprendre ses études?</t>
  </si>
  <si>
    <t>Quel est la filière de [NOM] ?</t>
  </si>
  <si>
    <t>[NOM] est-il/elle satisfait de l'enseignement reçu à l'école?</t>
  </si>
  <si>
    <t>Dans le cadre de sa scolarité, [NOM] rencontre-t-il/elle un des problèmes suivants?</t>
  </si>
  <si>
    <t>Qui gère l'école que fréquente [NOM]?</t>
  </si>
  <si>
    <t>Quel est le montant de la bourse/Allocation que [NOM] a reçu au cours des 12 derniers mois?</t>
  </si>
  <si>
    <t>Quel est le niveau d'études le plus élevé atteint par [NOM]? 
[INS: Fournir la nomenclature des niveaux]</t>
  </si>
  <si>
    <t>Quel était la filière de [NOM] ?</t>
  </si>
  <si>
    <t xml:space="preserve">Quelle est la dernière classe fréquentée par [NOM]  dans le niveau déclaré? 
</t>
  </si>
  <si>
    <t>En quelle année [NOM] a t-il/elle fréquenté l'école pour la dernière fois ?</t>
  </si>
  <si>
    <t>Quel est le diplôme le plus elevé obtenu par [NOM]?</t>
  </si>
  <si>
    <t>01 Trop jeune/Trop âgé
02 Pas d'école, école trop éloignée 
03 Refus de la famille
04 Préférence pour un emploi
05 Travaux champêtres/pastoralisme
06 Travaux domestiques
07 Veut se marier
08 C'est une fille
09 Grossesse
10 Frais de scolarité élevés
11 Manque de moyens financiers
12 Etudes non adaptées
13 Etudes peu utiles
14 Malade/infirme
15 Etudes achevées
16 Abandon, échec scolaire
17  Problème d'extrait de naissance
18 Autre (à préciser)</t>
  </si>
  <si>
    <t>1 Sciences exactes (Maths, physique, chimie, sciences de la vie et de la terre)</t>
  </si>
  <si>
    <t xml:space="preserve">01 Trop jeune </t>
  </si>
  <si>
    <t xml:space="preserve">02 Pas d'école, école trop éloignée
</t>
  </si>
  <si>
    <t>1 A obtenu un emploi</t>
  </si>
  <si>
    <t xml:space="preserve">[INS: Fournir la nomenclature des niveaux] </t>
  </si>
  <si>
    <t>1 GOUVERNEMENT</t>
  </si>
  <si>
    <t xml:space="preserve"> 1 Gouvernement</t>
  </si>
  <si>
    <t>00 Aucun</t>
  </si>
  <si>
    <t xml:space="preserve">Inscrire 1 Pour OUI ou 2 Pour NON </t>
  </si>
  <si>
    <t>03 Refus de la famille</t>
  </si>
  <si>
    <t>1 Gouvernement</t>
  </si>
  <si>
    <t xml:space="preserve">Inscrire 1 Pour OUI Ou 2 Pour NON </t>
  </si>
  <si>
    <t>2 S'est marié</t>
  </si>
  <si>
    <t>1 N'a pas pu continuer ses études ailleurs au pays</t>
  </si>
  <si>
    <t>2 ORGANISATION RELIGIEUSE</t>
  </si>
  <si>
    <t xml:space="preserve"> 2 Privé religieux</t>
  </si>
  <si>
    <t>01 CEP</t>
  </si>
  <si>
    <t>dans les cases appropriées</t>
  </si>
  <si>
    <t>04 Préférence pour un emploi</t>
  </si>
  <si>
    <t>2 Privé religieux</t>
  </si>
  <si>
    <t xml:space="preserve"> dans les cases appropriées</t>
  </si>
  <si>
    <t>3 C'est une fille</t>
  </si>
  <si>
    <t>2 Arts, lettres et, sciences humaines</t>
  </si>
  <si>
    <t>3 LE PRIVE</t>
  </si>
  <si>
    <t xml:space="preserve"> 3 Privé non religieux</t>
  </si>
  <si>
    <t>1. 1ére année</t>
  </si>
  <si>
    <t>02 BEPC</t>
  </si>
  <si>
    <t>05 Travaux champêtres/pastoralisme</t>
  </si>
  <si>
    <t>01 Ecole coranique</t>
  </si>
  <si>
    <t>3 Privé non religieux</t>
  </si>
  <si>
    <t>4 Grossesse</t>
  </si>
  <si>
    <t>1 Très satisfait</t>
  </si>
  <si>
    <t>4 LA COMMUNAUTE</t>
  </si>
  <si>
    <t xml:space="preserve"> 4 Privé international</t>
  </si>
  <si>
    <t>2. 2ème année</t>
  </si>
  <si>
    <t>03 CAP</t>
  </si>
  <si>
    <t>Français</t>
  </si>
  <si>
    <t>Langue Locale</t>
  </si>
  <si>
    <t>Autre Langue</t>
  </si>
  <si>
    <t>06 Travaux domestiques</t>
  </si>
  <si>
    <t>4 Privé international</t>
  </si>
  <si>
    <t>H</t>
  </si>
  <si>
    <t>F</t>
  </si>
  <si>
    <t>G</t>
  </si>
  <si>
    <t>5 Etudes trop difficiles</t>
  </si>
  <si>
    <t>2 N'a pas pu continuer ses études hors du pays</t>
  </si>
  <si>
    <t>3 Techniques administratives et de gestion</t>
  </si>
  <si>
    <t xml:space="preserve">2 Satisfait </t>
  </si>
  <si>
    <t>I</t>
  </si>
  <si>
    <t>J</t>
  </si>
  <si>
    <t>K</t>
  </si>
  <si>
    <t>L</t>
  </si>
  <si>
    <t>9 AUTRES</t>
  </si>
  <si>
    <t xml:space="preserve"> 5 La Communauté</t>
  </si>
  <si>
    <t>3. 3ème année</t>
  </si>
  <si>
    <t>Mettre 9999 si NSP</t>
  </si>
  <si>
    <t>04 BT</t>
  </si>
  <si>
    <t>07 C'est une fille</t>
  </si>
  <si>
    <t>2 Non ► Section 3</t>
  </si>
  <si>
    <t>02 Formation professionnelle</t>
  </si>
  <si>
    <t>5 La Communauté</t>
  </si>
  <si>
    <t>SMS</t>
  </si>
  <si>
    <t>Applications Mobile (WhatsApp, Facebook…)</t>
  </si>
  <si>
    <t>Email</t>
  </si>
  <si>
    <t>Courrier</t>
  </si>
  <si>
    <t>Téléphone</t>
  </si>
  <si>
    <t xml:space="preserve">Visite par l'enseignant/ direction </t>
  </si>
  <si>
    <t xml:space="preserve"> A fait des devoirs de maison donnés par les enseignants</t>
  </si>
  <si>
    <t>Utilisé des applications éducatives sur ordinateur/mobile/tablette</t>
  </si>
  <si>
    <t>Suivi des programmes éducatifs à la télé</t>
  </si>
  <si>
    <t>Suivi des programmes éducatifs à la radio</t>
  </si>
  <si>
    <t>Etudié par lui même</t>
  </si>
  <si>
    <t>Enseigné par un parent ou un autre membre du ménage</t>
  </si>
  <si>
    <t>Esnseigné par un tuteur</t>
  </si>
  <si>
    <t>Autre (A specifier)</t>
  </si>
  <si>
    <t>6 Ecole trop éloignée</t>
  </si>
  <si>
    <t>3 Peu satisfait</t>
  </si>
  <si>
    <t xml:space="preserve">Insuffisance de livres/fournitures </t>
  </si>
  <si>
    <t>Insuffisance de tables bancs et d'équipements</t>
  </si>
  <si>
    <t xml:space="preserve"> Absentéisme des enseignants/grève</t>
  </si>
  <si>
    <t>Enseignement pas satisfaisant</t>
  </si>
  <si>
    <t>Effectifs pléthoriques</t>
  </si>
  <si>
    <t>Insuffisance d'enseignants</t>
  </si>
  <si>
    <t>Manque de toilettes</t>
  </si>
  <si>
    <t>Fréquence des cotisations</t>
  </si>
  <si>
    <t xml:space="preserve">Salle de classe en mauvais état </t>
  </si>
  <si>
    <t>Absence de dispositif de lavage de main avec de l'eau et du savon</t>
  </si>
  <si>
    <t>Port non-obligatoire de masques</t>
  </si>
  <si>
    <t xml:space="preserve">Distanciation non-respectée dans les salles de classe </t>
  </si>
  <si>
    <t xml:space="preserve"> 6 Autre (à préciser)</t>
  </si>
  <si>
    <t>INSCRIRE ZERO SI LA PERSONNE N'A RECU NI BOURSE, NI ALLOCATION</t>
  </si>
  <si>
    <t>4. 4ème année</t>
  </si>
  <si>
    <t>05 BAC</t>
  </si>
  <si>
    <t>8 Frais de scolarité élevés</t>
  </si>
  <si>
    <t>1  Oui</t>
  </si>
  <si>
    <t>6 Autre (à préciser)</t>
  </si>
  <si>
    <t>7 Manque de moyens financiers</t>
  </si>
  <si>
    <t>4 Pas du tout satisfait</t>
  </si>
  <si>
    <t>INSCRIRE ZERO POUR UN MONTANT NUL</t>
  </si>
  <si>
    <t>5. 5ème année</t>
  </si>
  <si>
    <t>06 DEUG, DUT, BTS</t>
  </si>
  <si>
    <t>9 Manque de moyens financiers</t>
  </si>
  <si>
    <t>03 Cours d'alphabétisation</t>
  </si>
  <si>
    <t>2  Non</t>
  </si>
  <si>
    <t>8 Travaux domestiques</t>
  </si>
  <si>
    <t>3 Autre (à préciser)</t>
  </si>
  <si>
    <t>4 Techniques informatiques et industrielles (génie civil, mécanique, électrique, informatique)</t>
  </si>
  <si>
    <t>4 Techniques informatiques industrielles (génie civil, mécanique, électrique, informatique)</t>
  </si>
  <si>
    <t>6. 6ème année</t>
  </si>
  <si>
    <t>07 Licence</t>
  </si>
  <si>
    <t xml:space="preserve">2 Non </t>
  </si>
  <si>
    <t>10 Etudes non adaptées</t>
  </si>
  <si>
    <t>9 Travaux des champs, garde les troupeaux</t>
  </si>
  <si>
    <t>5 Secondaire 2 Général</t>
  </si>
  <si>
    <t>7. 7ème année</t>
  </si>
  <si>
    <t>08 Maitrise</t>
  </si>
  <si>
    <t>11 Etudes peu utiles</t>
  </si>
  <si>
    <t>04 Autres (cours de langue, etc.)</t>
  </si>
  <si>
    <t>6 Secondaire 2 Technique</t>
  </si>
  <si>
    <t>8. 8ème année</t>
  </si>
  <si>
    <t>09 Master/DEA/DESS</t>
  </si>
  <si>
    <t>12 Malade/infirme</t>
  </si>
  <si>
    <t>5 Abandon en cours d'année</t>
  </si>
  <si>
    <t xml:space="preserve">10 Violences, insécurité
11 COVID-19
12 Autres problèmes de santé
13 Préférence pour une formation professionnelle
14 Autre (à préciser)
</t>
  </si>
  <si>
    <t>7 Post-secondaire (préparation diplômes niveau BAC+2)</t>
  </si>
  <si>
    <t>9. 9ème année</t>
  </si>
  <si>
    <t>10 Doctorat/Phd</t>
  </si>
  <si>
    <t>13 Insécurité</t>
  </si>
  <si>
    <t>►►Section 3</t>
  </si>
  <si>
    <t>5. Droit et Sciences juridiques</t>
  </si>
  <si>
    <t>10. 10ème année</t>
  </si>
  <si>
    <t>14 Autre (à préciser)</t>
  </si>
  <si>
    <t>6. Sciences Economiques</t>
  </si>
  <si>
    <t>15 N'a pas débuté à cause de la COVID-19</t>
  </si>
  <si>
    <t>7. Autre (à spécifier)</t>
  </si>
  <si>
    <t>MONTANT EN FCFA</t>
  </si>
  <si>
    <t>ANNEE</t>
  </si>
  <si>
    <t>SECTION 3: SANTE GENERALE</t>
  </si>
  <si>
    <r>
      <t xml:space="preserve">[NOM] a t-il eu un problème de santé, maladie ou un accident au cours des 30 derniers jours </t>
    </r>
    <r>
      <rPr>
        <b/>
        <sz val="9"/>
        <rFont val="Arial Narrow"/>
        <family val="2"/>
      </rPr>
      <t>qui n'a pas entrainé une hospitalisation</t>
    </r>
    <r>
      <rPr>
        <sz val="9"/>
        <rFont val="Arial Narrow"/>
        <family val="2"/>
      </rPr>
      <t>?</t>
    </r>
  </si>
  <si>
    <t>Quel a été le principal problème de santé que [NOM] a eu ?</t>
  </si>
  <si>
    <t>Est ce que ce problème de santé a empêché [NOM] de mener ses activités quotidiennes normales?</t>
  </si>
  <si>
    <t>Pendant combien de temps le problème de santé  a-t-il empêché [NOM] de mener ses activités quotidiennes normales?</t>
  </si>
  <si>
    <t xml:space="preserve"> [NOM] a t-il consulté dans un service  de santé (y compris pharmacie), ou un guérisseur traditionnel au cours des 30 derniers jours du fait de ce problème de santé ?</t>
  </si>
  <si>
    <t>Pour quelle raison principale [NOM] n'a-t-il pas consulté?</t>
  </si>
  <si>
    <t xml:space="preserve">Où [NOM] a-t-il été consulté la première fois pour cet épisode de maladie ? [INS: Adaptez et gardez 6 niveaux publics]
</t>
  </si>
  <si>
    <t>Qui [NOM] a-t-il consulté la première fois pour cet épisode de maladie ?</t>
  </si>
  <si>
    <t>[NOM] a-t-il  été satisfait du service reçu lors de cette première consultation?</t>
  </si>
  <si>
    <t xml:space="preserve">Est ce que [NOM] a eu des problèmes suivants au cours de sa visite?
</t>
  </si>
  <si>
    <t>Quelle est  la distance qui sépare le domicile de [NOM] du lieu de cette première consultation?</t>
  </si>
  <si>
    <r>
      <t xml:space="preserve">[NOM] a t-il consulté dans un service de santé, ou un guérisseur, y compris pour une consultation prénatale, au cours des 3 derniers mois </t>
    </r>
    <r>
      <rPr>
        <b/>
        <sz val="9"/>
        <rFont val="Arial Narrow"/>
        <family val="2"/>
      </rPr>
      <t>sans hospitalisation</t>
    </r>
    <r>
      <rPr>
        <sz val="9"/>
        <rFont val="Arial Narrow"/>
        <family val="2"/>
      </rPr>
      <t xml:space="preserve">?
</t>
    </r>
  </si>
  <si>
    <t>Quel est le montant des frais de consultation d'un medecin généraliste, infirmier ou autre personnel médical généraliste hors hospitalisation de [NOM] au cours des 3 derniers mois?</t>
  </si>
  <si>
    <t>Quel est le montant des frais de consultation d'un médecin spécialiste, infirmier ou autre personnel médical spécialisé (y compris les sages-femmes) hors hospitalisation de [NOM] au cours des 3 derniers mois?</t>
  </si>
  <si>
    <t>Quel est le montant des frais de consultation pour un dentiste, ou infirmier dentiste de [NOM] au cours des 3 derniers mois?</t>
  </si>
  <si>
    <t>Quel est le montant des frais de consultation d'un guérisseur  traditionel de [NOM] au cours des 3 derniers mois?</t>
  </si>
  <si>
    <t>Quel est le montant des frais des examens médicaux  et des soins de [NOM] hors hospitalisation au cours des 3 derniers mois?</t>
  </si>
  <si>
    <t>Quel est le montant des frais de médicaments traditionnels hors hospitalisation de [NOM] au cours des 3 derniers mois?</t>
  </si>
  <si>
    <t>Quel est le montant des frais de médicaments hors hospitalisation achetés dans les officines publiques de [NOM] au cours des 3 derniers mois?</t>
  </si>
  <si>
    <t>Quel est le montant des frais de médicaments hors hospitalisation achetés dans les officines privées de [NOM] au cours des 3 derniers mois</t>
  </si>
  <si>
    <t>[NOM] a-t-il eu un problème de santé au cours des 12 derniers mois qui a entrainé au moins une fois une hospitalisation ?</t>
  </si>
  <si>
    <t>Combien de fois [NOM] a-t-il été hospitalisé au cours des 12 derniers mois ?</t>
  </si>
  <si>
    <t>Quel a été le dernier problème de santé pour lequel [NOM] a été hospitalisé au cours des 12 derniers mois?</t>
  </si>
  <si>
    <t>Pour ce dernier problème de santé ayant nécéssité une hospitalisation au cours des 12 derniers mois, combien de jours [NOM] est resté à l'hôpital ?</t>
  </si>
  <si>
    <t xml:space="preserve">Où [NOM] a-t-il été hospitalisé pour ce dernier problème de santé ? 
[INS: Adaptez et gardez 6 niveaux publics]
</t>
  </si>
  <si>
    <t>Quel est le montant des frais d'hospitalisation pour ce dernier problème de santé ?</t>
  </si>
  <si>
    <t>Quel est le montant depensé?</t>
  </si>
  <si>
    <t>[NOM] a t-il supporté des frais pour appareils médicaux thérapeutiques tels que des béquilles, chaise roulante, prothèse dentaire, lunettes médicales etc. au cours des 12 derniers mois?</t>
  </si>
  <si>
    <t>Quel est le montant des frais  pour verres correcteurs, monture de lunettes au 12 derniers mois?</t>
  </si>
  <si>
    <r>
      <t>Quel est le montant dépensé a</t>
    </r>
    <r>
      <rPr>
        <b/>
        <sz val="9"/>
        <rFont val="Arial Narrow"/>
        <family val="2"/>
      </rPr>
      <t>u cours des 12 derniers mois</t>
    </r>
    <r>
      <rPr>
        <sz val="9"/>
        <rFont val="Arial Narrow"/>
        <family val="2"/>
      </rPr>
      <t xml:space="preserve"> pour des béquilles, chaises roulantes, et ou vélo pour invalides avec ou sans moteur,  prothèses dentaires, prothèses auditives ou autres appareils thérapeutiques et orthopédiques?</t>
    </r>
  </si>
  <si>
    <t xml:space="preserve"> [NOM] a-t-il supporté des frais de vaccination, circoncision ou bilan de santé (check up) au cours des 12 derniers mois?</t>
  </si>
  <si>
    <t>Quel est le montant des dépenses de vaccination?</t>
  </si>
  <si>
    <t>Quel est le montant des dépenses de circoncision?</t>
  </si>
  <si>
    <t>Quel est le montant des dépenses de bilan de santé (check up)?</t>
  </si>
  <si>
    <t xml:space="preserve"> [NOM] a-t-il supporté des frais  pour les tests de la COVID-19 des 12 derniers mois?</t>
  </si>
  <si>
    <t>Quel est le montant des frais pour les tests de la COVID-19?</t>
  </si>
  <si>
    <t>[NOM] est-il couvert par une assurance maladie?</t>
  </si>
  <si>
    <t>Quel est le taux de remboursement (couverture)?</t>
  </si>
  <si>
    <t>Qui parraine/finance l'assurance maladie de [NOM]?</t>
  </si>
  <si>
    <t>Quel est le mode de remboursement?</t>
  </si>
  <si>
    <r>
      <t xml:space="preserve">[NOM] bénéficie t-il d'une prise en charge particulière (Mutuelle, consultation gratuite)?
</t>
    </r>
    <r>
      <rPr>
        <b/>
        <sz val="9"/>
        <rFont val="Arial Narrow"/>
        <family val="2"/>
      </rPr>
      <t xml:space="preserve">          </t>
    </r>
  </si>
  <si>
    <t>De quelle prise en charge s'agit-il?</t>
  </si>
  <si>
    <t>[NOM] dort-il habituellement sous une moustiquaire?</t>
  </si>
  <si>
    <t xml:space="preserve">[NOM] a-t-il dormi sous une moustiquaire la nuit dernière ? Si oui, est-ce une moustiquaire imprégnée ou simple ? </t>
  </si>
  <si>
    <t>En dehors de la moustiquaire, quel est le moyen principal que [NOM] utilise pour se protéger des piqûres de moustiques?</t>
  </si>
  <si>
    <t>Est-ce que [NOM] a des difficultés pour voir, même avec des lunettes?</t>
  </si>
  <si>
    <t>Est-ce que [NOM] a des difficultés pour entendre même avec une aide auditive?</t>
  </si>
  <si>
    <r>
      <t>Est-ce que [NOM] a des difficultés pour marcher ou monter les escaliers</t>
    </r>
    <r>
      <rPr>
        <sz val="9"/>
        <rFont val="Arial Narrow"/>
        <family val="2"/>
      </rPr>
      <t>?</t>
    </r>
  </si>
  <si>
    <t>Est-ce que [NOM] a des difficultés pour se rappeler ou se concentrer?</t>
  </si>
  <si>
    <t>Est-ce que [NOM] a des difficultés pour accomplir des tâches comme se laver ou s'habiller?</t>
  </si>
  <si>
    <t>Est-ce que [NOM] a des difficultés pour communiquer ou se faire comprendre dans sa langue usuelle?</t>
  </si>
  <si>
    <t>Au cours des 12 derniers mois, avez-vous eu un bébé?
[Pour les Femmes agées entre 12 et 49 ans]</t>
  </si>
  <si>
    <t>Quel a été le montant des dépenses de l’accouchement?</t>
  </si>
  <si>
    <t>Etes-vous enceinte présentement?</t>
  </si>
  <si>
    <t>Combien de visites prénatales avez-vous eu pendant votre grosesse ou avez-vous déjà eu pendant cette grossesse?</t>
  </si>
  <si>
    <t>Quel a été le montant des dépenses pour chaque visite prénatale?</t>
  </si>
  <si>
    <t xml:space="preserve">[NOM] a t-il pris tous ses vaccins obligatoires (BCG, DTCoq1, DTCoq2, DTCoq3, Vitamine A, Polyo, RRO)? 
[Pour les enfants de moins de 5 ans]
</t>
  </si>
  <si>
    <t>Pour quelle raison principale [NOM] n'a pas été vacciné?</t>
  </si>
  <si>
    <t>Mettez 1 pour OUI et 2 pour NON</t>
  </si>
  <si>
    <t xml:space="preserve">
[INS: LISTER LES DIFFÉRENTS TYPES DE PRISE EN CHARGE]  </t>
  </si>
  <si>
    <t xml:space="preserve">
1 Fièvre/Paludisme
2 Diarrhée
3 Accident/Blessure
4 Problème dentaire
5 Problème de peau
6 Maladie des yeux
7 Problème de tension
8 Fièvre typhoïde
9 Problème d'estomac (ulcère)
10 Mal de gorge
11 Toux, rhume, grippe
12 Diabète
13 Meningite
14 COVID-19
15  Accouchement/com-
plications liées à grossesse
16 Douleurs/fatigue 
17 Anémie/drépanocytose
18 Autre</t>
  </si>
  <si>
    <t>Public</t>
  </si>
  <si>
    <t>Pas nécessaire</t>
  </si>
  <si>
    <t>Hôpital national</t>
  </si>
  <si>
    <t>Trop cher</t>
  </si>
  <si>
    <t>Hôpital régional (y compris hôpital de police, militaire)</t>
  </si>
  <si>
    <t>1 Médecin Spécialiste</t>
  </si>
  <si>
    <t>Trop éloigné</t>
  </si>
  <si>
    <t>2 Médecin Généraliste</t>
  </si>
  <si>
    <t>ETABLISSEMENT PAS PROPRE</t>
  </si>
  <si>
    <t>ATTENTE LONGUE</t>
  </si>
  <si>
    <t>PERSONNEL NON QUALIFIÉ</t>
  </si>
  <si>
    <t>TROP CHER POUR [NOM]</t>
  </si>
  <si>
    <t>PAS DE MEDICAMENT</t>
  </si>
  <si>
    <t>TRAITEMENT INEFFICACE</t>
  </si>
  <si>
    <t>MAUVAIS ACCUEIL</t>
  </si>
  <si>
    <t>ABSENCE DU PERSONNEL</t>
  </si>
  <si>
    <t>PAS DE DISPOSITIF DE LAVAGE DE MAINS (SAVON, GEL)</t>
  </si>
  <si>
    <t>NON RESPECT DES MESURES DE DISTANCIATION ET DU PORT DE MASQUE</t>
  </si>
  <si>
    <t xml:space="preserve">AUTRE </t>
  </si>
  <si>
    <t>1. Moins de 1 Km</t>
  </si>
  <si>
    <t>1 Privé (individuel)</t>
  </si>
  <si>
    <t>1 Avance de frais</t>
  </si>
  <si>
    <t>1 Insecticides</t>
  </si>
  <si>
    <t>Automédication</t>
  </si>
  <si>
    <t>Centre de santé urbain</t>
  </si>
  <si>
    <t>3 Dentiste</t>
  </si>
  <si>
    <t>2. De 1 à moins de 2 Km</t>
  </si>
  <si>
    <t>2 Etat/programme</t>
  </si>
  <si>
    <t>2.Crèmes anti-Moustiques</t>
  </si>
  <si>
    <t>Pas de confiance</t>
  </si>
  <si>
    <t xml:space="preserve">Centre de santé rural </t>
  </si>
  <si>
    <t>4 Infirmier(ère)</t>
  </si>
  <si>
    <t>Si hospitalisation gratuite, écrivez 00,
Si NC écrivez 9999</t>
  </si>
  <si>
    <t>3 Etat employeur</t>
  </si>
  <si>
    <t>2 Tiers payant</t>
  </si>
  <si>
    <t>3. Spirales</t>
  </si>
  <si>
    <t>1 Non, aucune difficulté</t>
  </si>
  <si>
    <t>Moins d'une semaine</t>
  </si>
  <si>
    <t>Peur du résultat/ traitement</t>
  </si>
  <si>
    <t>Case de santé</t>
  </si>
  <si>
    <t>5 Sage-femme</t>
  </si>
  <si>
    <t>3. De 2 à moins de 5 Km</t>
  </si>
  <si>
    <t>Si appareils reçus gratuitement, écrivez 00
Si NC écrivez 9999</t>
  </si>
  <si>
    <t>Si vaccination gratuite écrivez 00
Si NC écrivez 9999</t>
  </si>
  <si>
    <t>Si circoncision gratuite écrivez 00
Si NC écrivez 9999</t>
  </si>
  <si>
    <t>Si check up gratuit écrivez 00
Si NC écrivez 9999</t>
  </si>
  <si>
    <t>Si tests COVID-19 gratuits écrivez 00
Si NC écrivez 9999</t>
  </si>
  <si>
    <t>4 Employeur</t>
  </si>
  <si>
    <t>4. Grillage sur les fenêtres</t>
  </si>
  <si>
    <t>Refus</t>
  </si>
  <si>
    <t>Autre public</t>
  </si>
  <si>
    <t>6 Aide-soignant</t>
  </si>
  <si>
    <t>5 Autre (à préciser)</t>
  </si>
  <si>
    <t>3 Les deux</t>
  </si>
  <si>
    <t>2 Oui, un peu de difficultés</t>
  </si>
  <si>
    <t>2 Non ►Personne suivante</t>
  </si>
  <si>
    <t>Entre une et deux semaines</t>
  </si>
  <si>
    <t>Manque d'argent</t>
  </si>
  <si>
    <t>Privé</t>
  </si>
  <si>
    <t>7 Pharmacien</t>
  </si>
  <si>
    <t>4. De 5 à moins de 10 Km</t>
  </si>
  <si>
    <t xml:space="preserve">1. Moustiquaire imprégnée </t>
  </si>
  <si>
    <t>6 Rien</t>
  </si>
  <si>
    <t>Non satisfait à la dernière consultation</t>
  </si>
  <si>
    <t>Hôpital/Clinique privée</t>
  </si>
  <si>
    <t>8 Matrone</t>
  </si>
  <si>
    <t>Si consultation gratuite, écrivez 00 
Si NC écrivez 9999</t>
  </si>
  <si>
    <t>Si consultation gratuite, écrivez 00, 
Si NC écrivez 9999</t>
  </si>
  <si>
    <t>Si examens gratuits, écrivez 00 
Si NC écrivez 9999</t>
  </si>
  <si>
    <t>Si médicaments reçus gratuitement, écrivez 00, 
si NC écrivez 9999</t>
  </si>
  <si>
    <t>3 Oui, beaucoup de difficultés</t>
  </si>
  <si>
    <t>Cabinet médical/dentaire/ ophtalmologie</t>
  </si>
  <si>
    <t>9 Agent technique de Santé</t>
  </si>
  <si>
    <t>5. 10Km ou plus</t>
  </si>
  <si>
    <t>Si consultation gratuite, écrivez 00, 
si NC écrivez 9999</t>
  </si>
  <si>
    <t>2. Moustiquaire Simple</t>
  </si>
  <si>
    <t xml:space="preserve">Plus de deux semaines </t>
  </si>
  <si>
    <t xml:space="preserve"> 2 Non </t>
  </si>
  <si>
    <t>Peur de contracter la COVID-19</t>
  </si>
  <si>
    <t>Cabinet de soins</t>
  </si>
  <si>
    <t>4 Ne peut pas du tout</t>
  </si>
  <si>
    <t>Pharmacie</t>
  </si>
  <si>
    <t>10 Autre personnel de santé</t>
  </si>
  <si>
    <t>Clinique d'entreprise, autre privé ou ONG</t>
  </si>
  <si>
    <t>3.  Non</t>
  </si>
  <si>
    <t>Service spécialisé non disponible</t>
  </si>
  <si>
    <t>5 Non-Concerné (moins de 5 ans)</t>
  </si>
  <si>
    <t>Absence de personnel</t>
  </si>
  <si>
    <t>11 Guérisseur/ Tradipraticien/ Marabout</t>
  </si>
  <si>
    <t>Chez le guérisseur/ tradipraticien</t>
  </si>
  <si>
    <t>Attente de rendez-vous</t>
  </si>
  <si>
    <t>Autre à préciser</t>
  </si>
  <si>
    <t>Consulation à domicile</t>
  </si>
  <si>
    <t>`</t>
  </si>
  <si>
    <t>MONTANT 
EN FCFA</t>
  </si>
  <si>
    <t>POUR
CENTS</t>
  </si>
  <si>
    <t>Nombre</t>
  </si>
  <si>
    <t>01</t>
  </si>
  <si>
    <t>02</t>
  </si>
  <si>
    <t>SECTION 4: EMPLOI</t>
  </si>
  <si>
    <t>PARTIE A: SITUATION EN RAPPORT AVEC L'ACTIVITE (INDIVIDUS DE 5 ANS ET PLUS)</t>
  </si>
  <si>
    <t>Code ID du répondant</t>
  </si>
  <si>
    <t>Au cours des 7 derniers jours, combien d'heures [NOM] a consacré à faire des courses au marché pour lui-même ou son ménage sans rémunération?</t>
  </si>
  <si>
    <t>Au cours des 7 derniers jours combien d'heures [NOM] a consacré à la cuisine et la vaisselle pour son propre ménage sans rémunération?</t>
  </si>
  <si>
    <t>Au cours des 7 derniers jours combien d'heures [NOM] a consacré à la lessive pour son propre ménage sans rémunération?</t>
  </si>
  <si>
    <t>Au cours des 7 derniers jours combien d'heures [NOM] a consacré à la garde des enfants, des personnes âgées ou malades pour son propre ménages sans rémunération?</t>
  </si>
  <si>
    <t>Au cours des 7 derniers jours combien d'heures [NOM] a t-il consacré pour aller chercher de l'eau pour son propre ménage sans rémunération?</t>
  </si>
  <si>
    <t>Au cours des 7 derniers jours combien d'heures [NOM] a t-il consacré pour aller chercher du bois pour son propre ménage sans rémunération?</t>
  </si>
  <si>
    <t>Au cours des 7 derniers jours combien de temps  [NOM] a t-il consacré à aider les enfants à reviser leurs leçons?</t>
  </si>
  <si>
    <t>Au cours des 7 derniers jours,  [NOM] a-t-il travaillé au moins une heure dans un champ ou jardin lui appartenant ou [NOM] a-t-il élevé des animaux, pratiqué la pêche ou la chasse pour son propre compte?</t>
  </si>
  <si>
    <t>Au cours des 7 derniers jours,  [NOM] a-t-il travaillé au moins une heure, avec rémunération (en nature ou en argent), dans un commerce, une activité de transformation, ou un service marchand pour son propre compte ou pour le compte d'un autre membre du ménage? Par exemple comme artisan, commerçant ou avocat, médecin ou autre travail indépendant?</t>
  </si>
  <si>
    <t>Au cours des 7 derniers jours, [NOM] a-t-il travaillé au moins une heure, pour une entreprise, pour l'Etat, pour un patron ou toute autre personne qui n'est pas  membre de votre ménage? (même à temps partiel ou de manière occasionnelle)</t>
  </si>
  <si>
    <t>Au cours des 7 derniers jours,  [NOM] a-t-il travaillé au moins une heure comme apprenti ou stagiaire avec rémunération  (en nature ou en argent)?</t>
  </si>
  <si>
    <t>Parmi les réponses aux questions 4.06, 4.07, 4.08, 4.09 y en a-t-il une affirmative (CODE 1)?</t>
  </si>
  <si>
    <t>Même si [NOM] n'a pas travaillé au cours des 7 derniers jours, possède-t-il un emploi qu'il aurait dû exercer au cours de ces 7 derniers jours ?</t>
  </si>
  <si>
    <t>Pourquoi  [NOM] n'a-t-il pas travaillé au cours des 7 derniers jours ?</t>
  </si>
  <si>
    <t xml:space="preserve">Vous avez déclaré n’avoir exercé aucune activité au cours des 7 derniers jours, avez-vous néanmoins travaillé dans un champ, jardin, pour un autre membre du ménage sans rémunération? </t>
  </si>
  <si>
    <t xml:space="preserve">Vous avez déclaré n’avoir exercé aucune activité au cours des 7 derniers jours, avez-vous néanmoins travaillé dans un commerce, activité de transformation, activité de service pour un autre membre du ménage sans rémunération ? </t>
  </si>
  <si>
    <t>[NOM] a-t-il cherché un emploi rémunéré au cours des 30 derniers jours?</t>
  </si>
  <si>
    <t>Comment fait [NOM] pour subvenir principalement à ses besoins?</t>
  </si>
  <si>
    <t xml:space="preserve">Pour quelle raison principale  [NOM] n'a-t-il pas cherché du travail au cours des 30 derniers jours? </t>
  </si>
  <si>
    <t>Dans quelle branche d'activité [NOM] a-t-il travaillé principalement?</t>
  </si>
  <si>
    <t>Quelle était la catégorie socioprofessionnelle de [NOM]?</t>
  </si>
  <si>
    <t>Quel était le secteur institutionnel de [NOM]?</t>
  </si>
  <si>
    <t>[NOM] est-il néanmoins disponible pour travailler tout de suite ?</t>
  </si>
  <si>
    <t>Quand  [NOM] sera-t-il disponible pour travailler?</t>
  </si>
  <si>
    <t>Depuis combien de mois  [NOM] est-il sans emploi?</t>
  </si>
  <si>
    <t>Depuis combien de mois [NOM] est-il à la recherche d'un emploi ?</t>
  </si>
  <si>
    <t>Pourquoi  [NOM] cherche-t-il du travail?</t>
  </si>
  <si>
    <t>[NOM] a t-il perdu son emploi à cause de la COVID-19?</t>
  </si>
  <si>
    <t>Par quels canaux  [NOM] cherche-t-il du travail?</t>
  </si>
  <si>
    <t>Quel genre d'emploi [NOM] cherche-t-il?</t>
  </si>
  <si>
    <t>Pour quel montant mensuel minimum [NOM] est-il prêt à travailler?</t>
  </si>
  <si>
    <t>Quel est l'emploi que [NOM] a exercé à titre principal et à titre secondaire au cours des 12 derniers mois?</t>
  </si>
  <si>
    <t>1 Perçoit une pension</t>
  </si>
  <si>
    <t>1 Trop âgé</t>
  </si>
  <si>
    <t xml:space="preserve">1 Immédiatement </t>
  </si>
  <si>
    <t>1 Congé, Vacances</t>
  </si>
  <si>
    <t>2 Perçoit des loyers/Rentes</t>
  </si>
  <si>
    <t>2 Retraité</t>
  </si>
  <si>
    <t>2 Dans 15 jours</t>
  </si>
  <si>
    <t xml:space="preserve">Mettre 1 SI OUI ET 2 SI NON </t>
  </si>
  <si>
    <r>
      <rPr>
        <b/>
        <sz val="9"/>
        <rFont val="Arial Narrow"/>
        <family val="2"/>
      </rPr>
      <t>1</t>
    </r>
    <r>
      <rPr>
        <sz val="9"/>
        <rFont val="Arial Narrow"/>
        <family val="2"/>
      </rPr>
      <t xml:space="preserve"> Si champ, élevage, chasse, pêche pour son propre compte ou le ménage</t>
    </r>
  </si>
  <si>
    <t>2 Congé de Maternité</t>
  </si>
  <si>
    <t>3 Perçoit une bourse/Transfert</t>
  </si>
  <si>
    <t>3 Entre 15 jours et un mois</t>
  </si>
  <si>
    <t>1 Salarié public</t>
  </si>
  <si>
    <t>3 Arrêt provisoire pour son propre compte</t>
  </si>
  <si>
    <t>4 Vit de son épargne</t>
  </si>
  <si>
    <t>1 Perte de l'emploi précédent</t>
  </si>
  <si>
    <t>2 Salarié privé</t>
  </si>
  <si>
    <t>5 Vit du produit de ses récoltes</t>
  </si>
  <si>
    <t>4 Trop Jeune</t>
  </si>
  <si>
    <t>4 Plus d' un mois</t>
  </si>
  <si>
    <t>Relations personnelles, Parents</t>
  </si>
  <si>
    <t>Concours, Auprès des employeurs</t>
  </si>
  <si>
    <t>Petites annonces par Radio, TV, Journal, Internet</t>
  </si>
  <si>
    <t>ANPE ou autre agence de même nature</t>
  </si>
  <si>
    <t>Cabinet de placement</t>
  </si>
  <si>
    <t>Démarche personnelle (créer sa propre affaire)</t>
  </si>
  <si>
    <t>Autre</t>
  </si>
  <si>
    <r>
      <rPr>
        <b/>
        <sz val="9"/>
        <rFont val="Arial Narrow"/>
        <family val="2"/>
      </rPr>
      <t>2</t>
    </r>
    <r>
      <rPr>
        <sz val="9"/>
        <rFont val="Arial Narrow"/>
        <family val="2"/>
      </rPr>
      <t xml:space="preserve"> Si entreprise individuelle non agricole pour son propre compte</t>
    </r>
  </si>
  <si>
    <t>4 Congé maladie</t>
  </si>
  <si>
    <t>6 Vit de transferts de vivres gratuits</t>
  </si>
  <si>
    <t>5 Etudiant/Elève</t>
  </si>
  <si>
    <t>5 En grève</t>
  </si>
  <si>
    <t>6 Ménagère</t>
  </si>
  <si>
    <t>Si Moins d'un mois, inscrire 0</t>
  </si>
  <si>
    <r>
      <rPr>
        <b/>
        <sz val="9"/>
        <rFont val="Arial Narrow"/>
        <family val="2"/>
      </rPr>
      <t>3</t>
    </r>
    <r>
      <rPr>
        <sz val="9"/>
        <rFont val="Arial Narrow"/>
        <family val="2"/>
      </rPr>
      <t xml:space="preserve"> Si salarié du public ou du privé</t>
    </r>
  </si>
  <si>
    <t>6 Fermeture ou suspension du fait de la COVID-19</t>
  </si>
  <si>
    <t>7 Est à la charge du ménage</t>
  </si>
  <si>
    <t>7  Maladie (Contaminé par la COVID-19)</t>
  </si>
  <si>
    <t>7. Autre suspension temporaire</t>
  </si>
  <si>
    <t>8 Mendie</t>
  </si>
  <si>
    <t>8 Autre maladie</t>
  </si>
  <si>
    <t>5 Indifférent</t>
  </si>
  <si>
    <r>
      <rPr>
        <b/>
        <sz val="9"/>
        <rFont val="Arial Narrow"/>
        <family val="2"/>
      </rPr>
      <t>4</t>
    </r>
    <r>
      <rPr>
        <sz val="9"/>
        <rFont val="Arial Narrow"/>
        <family val="2"/>
      </rPr>
      <t xml:space="preserve"> Si travail occasionnel ou à temps partiel</t>
    </r>
  </si>
  <si>
    <t>9 Autre (à préciser)</t>
  </si>
  <si>
    <t>9 Handicap</t>
  </si>
  <si>
    <t>5 Entreprise associative</t>
  </si>
  <si>
    <t>8 En formation ou en stage</t>
  </si>
  <si>
    <t>10 Attend le démarrage de sa propre entreprise</t>
  </si>
  <si>
    <r>
      <rPr>
        <b/>
        <sz val="9"/>
        <rFont val="Arial Narrow"/>
        <family val="2"/>
      </rPr>
      <t>5</t>
    </r>
    <r>
      <rPr>
        <sz val="9"/>
        <rFont val="Arial Narrow"/>
        <family val="2"/>
      </rPr>
      <t xml:space="preserve"> Si apprenti </t>
    </r>
  </si>
  <si>
    <t>11 Attend la réponse à une demande d'emploi</t>
  </si>
  <si>
    <t xml:space="preserve">1   Oui </t>
  </si>
  <si>
    <t>12 Manque d'emploi</t>
  </si>
  <si>
    <t>2   Non ►Section 5</t>
  </si>
  <si>
    <t>(Attention: Les deux emplois peuvent avoir le même code, par exemple deux emplois salariés)</t>
  </si>
  <si>
    <t xml:space="preserve">1 Oui </t>
  </si>
  <si>
    <t>13 Ne sait pas comment chercher</t>
  </si>
  <si>
    <t>2   Non</t>
  </si>
  <si>
    <t>14 Chômage saisonnier</t>
  </si>
  <si>
    <t>15 Impossible de chercher à cause de la COVID-19</t>
  </si>
  <si>
    <t>16 Autre (à préciser)</t>
  </si>
  <si>
    <t>HEURES</t>
  </si>
  <si>
    <t>PRINCIPAL</t>
  </si>
  <si>
    <t>SECONDAIRE</t>
  </si>
  <si>
    <t>PARTIE B: EMPLOI PRINCIPAL AU COURS DES 12 DERNIERS MOIS  (INDIVIDUS DE 5 ANS ET PLUS)</t>
  </si>
  <si>
    <t xml:space="preserve"> Je voudrais vous poser des questions sur l'emploi principal que vous avez occupé au cours des 12 derniers mois; il s'agit de l'emploi auquel vous consacrez habituellement le plus de temps au cours des 12 derniers mois,S'il vous plait, décrivez le métier ou la profession que  [NOM] a exercé au cours des 12 derniers mois.  Qu'est-ce que vous avez fait dans le cadre de cet emploi?</t>
  </si>
  <si>
    <t>Quelle est  l'activité de l'entreprise dans laquelle  [NOM] a exercé son emploi ou quels produits (services) fabrique (fournit) t-elle?</t>
  </si>
  <si>
    <t>Quel est le principal employeur de  [NOM]  dans cet emploi?</t>
  </si>
  <si>
    <r>
      <t xml:space="preserve">Combien de mois  [NOM] a-t-il exercé cet emploi au cours des 12 derniers mois (y compris les congés payés)?
</t>
    </r>
    <r>
      <rPr>
        <b/>
        <i/>
        <sz val="9"/>
        <color indexed="8"/>
        <rFont val="Arial Narrow"/>
        <family val="2"/>
      </rPr>
      <t xml:space="preserve">
Si moins d'un mois, inscrire 0.</t>
    </r>
  </si>
  <si>
    <t xml:space="preserve"> [NOM] bénéficie t-il de congés payés?  </t>
  </si>
  <si>
    <t>De combien de jours de congé annuel [NOM] a t-il joui au cours des 12 derniers mois ?</t>
  </si>
  <si>
    <t xml:space="preserve"> [NOM] bénéficie t-il de congés maladie?  </t>
  </si>
  <si>
    <t>Combien de jours par mois  [NOM] consacre-t-il habituellement à cet emploi ?</t>
  </si>
  <si>
    <t>Combien d'heures par jour  [NOM] consacre-t-il  habituellement à cet emploi ?</t>
  </si>
  <si>
    <r>
      <t xml:space="preserve"> [NOM] cotise-t-il à la […] ou à la [...] dans le cadre de cet emploi?
</t>
    </r>
    <r>
      <rPr>
        <b/>
        <sz val="9"/>
        <color indexed="10"/>
        <rFont val="Arial Narrow"/>
        <family val="2"/>
      </rPr>
      <t xml:space="preserve">[INS, préciser les différentes caisses de retraite à […] ]  </t>
    </r>
  </si>
  <si>
    <t>Quel est la catégorie socioprofessionnelle de  [NOM] dans cet emploi ?</t>
  </si>
  <si>
    <t xml:space="preserve">L’entreprise tient-elle une comptabilité formelle ? </t>
  </si>
  <si>
    <t xml:space="preserve">L’entreprise a-t-elle un numéro de contribuable ou d’identification fiscale ? </t>
  </si>
  <si>
    <t xml:space="preserve">[NOM] bénéficie t-elle/il de congés de maternité/paternité ?  </t>
  </si>
  <si>
    <t>Quel est le nombre de jours de congé de maternité/paternité réglementaire ?</t>
  </si>
  <si>
    <t>[NOM] a-t-il un bulletin de salaire?</t>
  </si>
  <si>
    <t>Quel a été le salaire de  [NOM] pour cet emploi (pour la période de temps considérée)?</t>
  </si>
  <si>
    <t>[NOM] bénéficie-t-il de primes dans le cadre de cet emploi?</t>
  </si>
  <si>
    <t xml:space="preserve">A combien évaluez-vous les primes ( uniquement celles qui ne sont pas incluses dans le salaire)? </t>
  </si>
  <si>
    <t>[NOM] bénéficie-t-il d'autres avantages quelconques ( indemnités de transport, indemnités de logement, etc. autres que la nourriture) non inclus dans le salaire dans le cadre de cet emploi?</t>
  </si>
  <si>
    <t xml:space="preserve">A combien évaluez-vous ces avantages ( uniquement ceux qui ne sont pas inclus dans le salaire)? </t>
  </si>
  <si>
    <t>[NOM] reçoit-il de la nourriture dans le cadre de cet emploi ?</t>
  </si>
  <si>
    <t>A combien évaluez-vous cette nourriture?</t>
  </si>
  <si>
    <t>[NOM] exerçait-il un emploi rémunéré avant l'avènement du COVID-19 c'est-à-dire avant mars 2020?</t>
  </si>
  <si>
    <t>[NOM] a t-il eu à perdre son emploi pendant la période qu'a duré la  pandémie de la COVID-19, c'est-à-dire de mars 2020 à février 2021?</t>
  </si>
  <si>
    <t>Combien de temps [NOM] est-il/elle resté sans travailler pendant la période de la crise de la Covid-19, c'est-à-dire de mars 2020 à février 2021?
UNITE DE TEMPS
1 UNE SEMAINE
2 DEUX SEMAINES
3 MOIS</t>
  </si>
  <si>
    <t xml:space="preserve">Comment le temps consacré à cet emploi a t-il été affecté? </t>
  </si>
  <si>
    <t>Combien de temps cette situation a t-elle duré?
SI LE CHANGEMENT CONTINUE À CE JOUR, INSCRIRE 98
UNITE DE TEMPS
1 UNE SEMAINE
2 DEUX SEMAINES
3 MOIS</t>
  </si>
  <si>
    <t>Comment le salaire, les bénéfices et ou avantages de cet emploi de [NOM] a été affecté par la COVID-19?</t>
  </si>
  <si>
    <t>Combien de temps cette situation a t-elle duré?
SI LE CHANGEMENT CONTINUE À CE JOUR, INSCRIRE 98
UNITE DE TEMPS
1 SEMAINE
2 DEUX SEMAINES
3 MOIS</t>
  </si>
  <si>
    <t xml:space="preserve">En plus de l'emploi principal qui vient d'être décrit, [NOM] a-t-il exercé un emploi secondaire au cours des 12 derniers mois? </t>
  </si>
  <si>
    <t>Est-ce que [NOM] est prêt à faire un travail supplémentaire dans les 4 prochaines semaines?</t>
  </si>
  <si>
    <t>Est-ce que [NOM] avait un emploi secondaire qu'il exerce habituellement mais ne l'a pas fait au cours des 12 derniers mois à cause de la COVID-19?</t>
  </si>
  <si>
    <t>SI NSP INSCRIRE 9999</t>
  </si>
  <si>
    <t>Si NSP INSCRIRE 9999</t>
  </si>
  <si>
    <t>UNITE DE TEMPS</t>
  </si>
  <si>
    <t>SEMAINE</t>
  </si>
  <si>
    <t>2 Cadre moyen/agent de maîtrise</t>
  </si>
  <si>
    <t>1 Moins d'heures par jour ou moins de jours par mois</t>
  </si>
  <si>
    <t>TRIMESTRE</t>
  </si>
  <si>
    <t>1 Dimunition de Salaire, bénéfices et/ou avantages liés à cet emploi</t>
  </si>
  <si>
    <t xml:space="preserve">4 Ouvrier ou employé non qualifié </t>
  </si>
  <si>
    <t>1   Oui</t>
  </si>
  <si>
    <t>AN</t>
  </si>
  <si>
    <t>2 Supendu pendant quelques semaines ou mois</t>
  </si>
  <si>
    <t>3 Entreprise Privée</t>
  </si>
  <si>
    <t>5 Manœuvre, aide ménagère</t>
  </si>
  <si>
    <t>2 Salaire, bénéfices et/ou avantages liés à cet emploi plus irrégulier</t>
  </si>
  <si>
    <t>4 Entreprise associative</t>
  </si>
  <si>
    <t>6 Stagiaire ou Apprenti rémunéré</t>
  </si>
  <si>
    <t>(Sur la colonne de gauche inscrire le libellé de l'emploi ou de la profession; sur la colonne de droite inscrire le code correspondant, après l'interview. On trouve les codes de l'emploi/profession à l'annexe du manuel de l'agent enquêteur)</t>
  </si>
  <si>
    <t>(Sur la colonne de gauche inscrire le libellé de la branche; sur la colonne de droite inscrire le code correspondant, après l'interview. On trouve les codes des branches d'activité à l'annexe du manuel de l'agent enquêteur)</t>
  </si>
  <si>
    <t>9 Travailleur pour compte propre</t>
  </si>
  <si>
    <t>10 Patron/Employeur</t>
  </si>
  <si>
    <t>UNITE 
DE TEMPS</t>
  </si>
  <si>
    <t>EMPLOI/PROFESSION</t>
  </si>
  <si>
    <t>BRANCHE</t>
  </si>
  <si>
    <t>JOURS</t>
  </si>
  <si>
    <t>PARTIE C: EMPLOI SECONDAIRE AU COURS DES 12 DERNIERS MOIS  (INDIVIDUS DE 5 ANS ET PLUS)</t>
  </si>
  <si>
    <t>Je voudrais vous poser des questions sur l'emploi secondaire que vous avez occupé au cours des 12 derniers mois. S'il vous plait, décrivez le métier ou la profession que  [NOM] a exercé au cours des 12 derniers mois.  Qu'est-ce que vous avez fait dans le cadre de cet emploi?</t>
  </si>
  <si>
    <t>Combien de mois  [NOM] a-t-il exercé cet emploi au cours des 12 derniers mois ?</t>
  </si>
  <si>
    <t>Combien de jours par mois  [NOM] consacre-t-il  habituellement à cet emploi ?</t>
  </si>
  <si>
    <t>Quelle est la catégorie socioprofessionnelle de  [NOM] dans cet emploi ?</t>
  </si>
  <si>
    <t>Quel a été le salaire de  [NOM] pour cet emploi pour la période de temps considérée?</t>
  </si>
  <si>
    <t>[NOM] bénéficie-t-il d'autres avantages quelconques ( indemnités de transport, indemnités de logement, etc. autres que la nourriture) dans le cadre de cet emploi?</t>
  </si>
  <si>
    <t>Recevez-vous de la nourriture dans le cadre de cet emploi ?</t>
  </si>
  <si>
    <t xml:space="preserve">Salarié  </t>
  </si>
  <si>
    <t xml:space="preserve">2 Cadre moyen/agent de maîtrise </t>
  </si>
  <si>
    <r>
      <t xml:space="preserve">(Sur la colonne de gauche inscrire le libellé de la branche; sur la colonne de droite inscrire le code correspondant, après l'interview. On trouve les codes des branches d'activité </t>
    </r>
    <r>
      <rPr>
        <b/>
        <sz val="9"/>
        <rFont val="Arial Narrow"/>
        <family val="2"/>
      </rPr>
      <t xml:space="preserve">à </t>
    </r>
    <r>
      <rPr>
        <sz val="9"/>
        <rFont val="Arial Narrow"/>
        <family val="2"/>
      </rPr>
      <t>l'annexe du manuel de l'agent enquêteur)</t>
    </r>
  </si>
  <si>
    <t xml:space="preserve">5 Manœuvre, aide ménagère </t>
  </si>
  <si>
    <t>6 Stagiaire ou Apprenti rémuméré</t>
  </si>
  <si>
    <t>Non Salarié  ► Section 5</t>
  </si>
  <si>
    <t xml:space="preserve">7 Stagiaire ou Apprenti non rénuméré  </t>
  </si>
  <si>
    <t>8 Travailleur familial contribuant à une entreprise familiale</t>
  </si>
  <si>
    <t xml:space="preserve">9 Travailleur pour compte propre </t>
  </si>
  <si>
    <t>10 Patron</t>
  </si>
  <si>
    <t>SECTION 5 : Revenus hors emploi au cours des 12 derniers mois (Individus de 15 ans et plus)</t>
  </si>
  <si>
    <t>Quel est le code ID  du répondant?</t>
  </si>
  <si>
    <t>Est-ce que [NOM] a béneficié d'une pension de retraite (civile et militaire y compris les anciens combattants) au cours des 12 derniers mois?</t>
  </si>
  <si>
    <t>Quel est le montant annuel de la pension de retraite (civile et militaire y compris les anciens combattants) perçu par [NOM]?</t>
  </si>
  <si>
    <t xml:space="preserve">Est-ce que [NOM] a bénéficié d'une pension de veuvage (en cas de perte du conjoint) ou d'orphelinat (perte du parent) ? </t>
  </si>
  <si>
    <t>Quel est le montant annuel de la pension de veuvage (en cas de perte du conjoint) ou d'orphelinat (perte du parent)  perçu par [NOM]?</t>
  </si>
  <si>
    <t>Est-ce que [NOM] a bénéficié de pension d'invalidité (en cas d'accident du travail) au cours des 12 derniers mois?</t>
  </si>
  <si>
    <t>Quel est le montant annuel de la  pension d'invalidité (en cas d'accident du travail) perçu par [NOM]?</t>
  </si>
  <si>
    <t>Est-ce que [NOM] a bénéficié d'une pension alimentaire (en cas de divorce ou de séparation) au cours des 12 derniers mois?</t>
  </si>
  <si>
    <t>Quel est le montant annuel de la pension alimentaire (en cas de divorce ou de séparation) perçu par [NOM]?</t>
  </si>
  <si>
    <t>Est-ce que [NOM] a recu un revenu provenant de loyers de maison d'habitation au cours des 12 derniers mois?</t>
  </si>
  <si>
    <t>Quel est le montant annuel du revenu provenant de loyers de maison d'habitation perçu par [NOM]?</t>
  </si>
  <si>
    <t>Est-ce que [NOM] a reçu des revenus mobiliers et financiers (dividendes d'actions, intérêts sur placements, etc.) au cours des 12 derniers mois?</t>
  </si>
  <si>
    <t>Quel est le montant annuel du revenu de mobiliers et financiers (dividendes d'actions, intérêts sur placements, etc.) perçu par [NOM]?</t>
  </si>
  <si>
    <t>Est-ce que [NOM] a recu un autre revenu (gain de loterie, héritage, vente de biens, etc.) au cours des 12 derniers mois?</t>
  </si>
  <si>
    <t>Quel est le montant annuel d'autres revenus (gain de loterie, héritage, vente de biens, etc.) perçu par [NOM]?</t>
  </si>
  <si>
    <t>1.  Oui</t>
  </si>
  <si>
    <t>2. Non ► Section 6</t>
  </si>
  <si>
    <t>SECTION 6 : EPARGNE ET CREDIT  (INDIVIDUS AGES DE 15 ANS ET PLUS)</t>
  </si>
  <si>
    <t xml:space="preserve">Est-ce que [NOM] possède de l'épargne dans au moins un de ces comptes? </t>
  </si>
  <si>
    <t>Est-ce que [NOM] a demandé un crédit à une institution financière au cours des 12 derniers mois?</t>
  </si>
  <si>
    <t>Pourquoi [NOM] n'a-t-il pas demandé de crédit au cours des 12 derniers mois?</t>
  </si>
  <si>
    <t>Est-ce que [NOM] a obtenu un crédit auprès d’une de ces institutions au cours des 12 derniers mois?</t>
  </si>
  <si>
    <t>Pour quelle raison principale [NOM] n'a-t-il pas obtenu le crédit?</t>
  </si>
  <si>
    <t>Est ce que [NOM]  est membre d'une tontine ou d'une association d'entraide?</t>
  </si>
  <si>
    <t>Est-ce que [NOM] a demandé du crédit dans cette association d'entraide ou tontine?</t>
  </si>
  <si>
    <t xml:space="preserve">Est-ce que [NOM] a néanmoins bénéficié d'un crédit dans le passé qui n'est pas encore complètement remboursé?  </t>
  </si>
  <si>
    <t xml:space="preserve">Combien de crédit en cours, c'est-à-dire non totalement remboursés [NOM] a-t-il?
Si 0 ►Personne suivante                                                                                                                                                                                                                                                                               </t>
  </si>
  <si>
    <t>Quelle a été la principale utilisation que [NOM] a fait de ce dernier crédit?</t>
  </si>
  <si>
    <r>
      <t xml:space="preserve">Auprès de qui ce dernier crédit a-t-il été contracté? </t>
    </r>
    <r>
      <rPr>
        <sz val="8"/>
        <rFont val="Arial Narrow"/>
        <family val="2"/>
      </rPr>
      <t xml:space="preserve">
</t>
    </r>
  </si>
  <si>
    <t>Quelle est la date à laquelle ce dernier crédit a été contracté?</t>
  </si>
  <si>
    <r>
      <t>Quel est le montant nominal de ce dernier crédit?</t>
    </r>
    <r>
      <rPr>
        <i/>
        <sz val="8"/>
        <rFont val="Arial Narrow"/>
        <family val="2"/>
      </rPr>
      <t xml:space="preserve"> (En FCFA)</t>
    </r>
  </si>
  <si>
    <t>Quelle est la périodicité des remboursements de ce dernier crédit?</t>
  </si>
  <si>
    <t>Quel est le nombre d'échéances de remboursement de ce dernier crédit selon la périodicité précédente?</t>
  </si>
  <si>
    <r>
      <t>Quel est le montant nominal devant être remboursé en moyenne à chaque échéance pour ce dernier crédit?</t>
    </r>
    <r>
      <rPr>
        <b/>
        <sz val="9"/>
        <rFont val="Arial Narrow"/>
        <family val="2"/>
      </rPr>
      <t xml:space="preserve"> </t>
    </r>
    <r>
      <rPr>
        <b/>
        <i/>
        <sz val="9"/>
        <rFont val="Arial Narrow"/>
        <family val="2"/>
      </rPr>
      <t>(En FCFA)</t>
    </r>
  </si>
  <si>
    <t>Quel est le nombre d'échéances déjà remboursées pour ce dernier crédit?</t>
  </si>
  <si>
    <t>La crise du COVID-19 affecte ou a t-elle affecté le remboursement de ce crédit?</t>
  </si>
  <si>
    <t>(Pour le mois, inscrire 01 pour janvier, 02 pour février, etc.)</t>
  </si>
  <si>
    <t>(Pour l'année, inscrire les quatre chiffres, ex: 2010 pour 2010; 2011 pour 2011, etc.)</t>
  </si>
  <si>
    <t>1.Education</t>
  </si>
  <si>
    <t xml:space="preserve">1. Absence d'institutions de crédit </t>
  </si>
  <si>
    <t>2. Santé</t>
  </si>
  <si>
    <t>1. Semaine</t>
  </si>
  <si>
    <t xml:space="preserve">2. Ne sait pas comment demander </t>
  </si>
  <si>
    <t>1. Dossier incomplet</t>
  </si>
  <si>
    <t>3. Equipement du ménage (voiture, appareil ménager, etc.)</t>
  </si>
  <si>
    <t>1. Banque</t>
  </si>
  <si>
    <t>2. Mois</t>
  </si>
  <si>
    <t>1 Aucun effet</t>
  </si>
  <si>
    <t>2. Caisse rurale, IMF</t>
  </si>
  <si>
    <t>3. Trimestre</t>
  </si>
  <si>
    <t>2 A empêché de faire les remboursements momentanément</t>
  </si>
  <si>
    <t>3. Ne remplit pas les conditions</t>
  </si>
  <si>
    <t>2. Pas de garanti</t>
  </si>
  <si>
    <t>4. Acquisition de terrain; Contruction, réparation de maison</t>
  </si>
  <si>
    <t>3. ONG</t>
  </si>
  <si>
    <t>4. Semestre</t>
  </si>
  <si>
    <t xml:space="preserve">4. N'est pas sûr d'en obtenir un </t>
  </si>
  <si>
    <t>3. Capacité de remboursement faible</t>
  </si>
  <si>
    <t>4. Fournisseur</t>
  </si>
  <si>
    <t>5. Année</t>
  </si>
  <si>
    <t>3 Empêche de faire les remboursements jusqu'à maintenant</t>
  </si>
  <si>
    <t>5. Pas capable de rembourser</t>
  </si>
  <si>
    <t>1. Oui</t>
  </si>
  <si>
    <t>1.Oui</t>
  </si>
  <si>
    <t>5. Démarrer une affaire, entreprise</t>
  </si>
  <si>
    <t>5. Coopérative</t>
  </si>
  <si>
    <t>Etablissements financiers</t>
  </si>
  <si>
    <t>2. Non</t>
  </si>
  <si>
    <t>6. Taux d'intérêts élevés</t>
  </si>
  <si>
    <t>2.Non ► Personne Suivante</t>
  </si>
  <si>
    <t>6. Financer une affaire existante (équipement, matières premières)
7. Intrants agricoles (semences, engrais, aliments pour bétail, etc.)</t>
  </si>
  <si>
    <t>6. Autre ménage</t>
  </si>
  <si>
    <t>►► Personne suivante</t>
  </si>
  <si>
    <t>Banque classique</t>
  </si>
  <si>
    <t>Poste</t>
  </si>
  <si>
    <t>Caisse rurale d'épargne, IMF</t>
  </si>
  <si>
    <t>Mobile Banking</t>
  </si>
  <si>
    <t>Carte prépayée</t>
  </si>
  <si>
    <t>7. Autre crédit en cours</t>
  </si>
  <si>
    <t>4. Autre crédit en cours</t>
  </si>
  <si>
    <t>7. Tontine/association</t>
  </si>
  <si>
    <t>8. Pas nécessaire</t>
  </si>
  <si>
    <t>8. Usurier</t>
  </si>
  <si>
    <t>9. Banque ou institution de crédit inaccessible à cause de la COVID-19</t>
  </si>
  <si>
    <t>5 Dossier en cours de traitement</t>
  </si>
  <si>
    <t>8. Consommation du ménage</t>
  </si>
  <si>
    <t>9. Autre (à préciser)</t>
  </si>
  <si>
    <t xml:space="preserve">9. Evènements/ Fêtes            </t>
  </si>
  <si>
    <t>10. Autre (à préciser)</t>
  </si>
  <si>
    <t>MONTANT</t>
  </si>
  <si>
    <t>SECTION 7A: REPAS PRIS  A L'EXTERIEUR DU MENAGE AU COURS DES 7 DERNIERS JOURS</t>
  </si>
  <si>
    <t>ENQUÊTEUR: Il faut commencer par les aliments pris (au moins deux membres ensemble) à l'extérieur du ménage par au moins deux membres du ménage sur la ligne 98</t>
  </si>
  <si>
    <t>(7A.00)</t>
  </si>
  <si>
    <t>(7A.01)</t>
  </si>
  <si>
    <t>(7A.02)</t>
  </si>
  <si>
    <t>(7A.03)</t>
  </si>
  <si>
    <t>(7A.04)</t>
  </si>
  <si>
    <t>(7A.05)</t>
  </si>
  <si>
    <t>(7A.06)</t>
  </si>
  <si>
    <t>(7A.07)</t>
  </si>
  <si>
    <t>(7A.08)</t>
  </si>
  <si>
    <t>(7A.09)</t>
  </si>
  <si>
    <t>(7A.10)</t>
  </si>
  <si>
    <t>(7A.11)</t>
  </si>
  <si>
    <t>(7A.12)</t>
  </si>
  <si>
    <t>(7A.13)</t>
  </si>
  <si>
    <t>(7A.14)</t>
  </si>
  <si>
    <t>(7A.15)</t>
  </si>
  <si>
    <t>(7A.16)</t>
  </si>
  <si>
    <t>(7A.17)</t>
  </si>
  <si>
    <t>(7A.18)</t>
  </si>
  <si>
    <t>(7A.19)</t>
  </si>
  <si>
    <t>(7A.20)</t>
  </si>
  <si>
    <t>(7A.21)</t>
  </si>
  <si>
    <t>Qui est le répondant à cette section?</t>
  </si>
  <si>
    <t>Est-ce que [NOM] a consommé un petit déjeuner (pain, café, thé, beignets, galettes, croissant, bouillie, etc.) acheté hors du ménage ou reçu en cadeau au cours des 7 derniers jours?</t>
  </si>
  <si>
    <t>Pour les 7 derniers jours, quel est le montant dépensé pour le petit déjeuner pris à l'extérieur par [NOM] ?</t>
  </si>
  <si>
    <t>Pour les 7 derniers jours, à combien estimez-vous le montant en cas de cadeau pour le petit déjeuner pris à l'extérieur par [NOM]?</t>
  </si>
  <si>
    <t>Est-ce que [NOM] a consommé un déjeuner (repas de midi) acheté hors du ménage ou reçu en cadeau au cours des 7 derniers jours?</t>
  </si>
  <si>
    <t>Pour les 7 derniers jours, quel est le montant dépensé pour le déjeuner pris à l'extérieur par [NOM]?</t>
  </si>
  <si>
    <t>Pour les 7 derniers jours,  à combien estimez-vous le montant en cas de cadeau pour le déjeuner pris à l'extérieur par [NOM]?</t>
  </si>
  <si>
    <t>Est-ce que [NOM] a consommé un diner (repas du soir) acheté hors du ménage ou reçu en cadeau au cours des 7 derniers jours?</t>
  </si>
  <si>
    <t>Pour les 7 derniers jours, quel est le montant dépensé pour le diner pris à l'extérieur par [NOM]?</t>
  </si>
  <si>
    <t>Pour les 7 derniers jours, à combien estimez-vous le montant en cas de cadeau pour le diner pris à l'extérieur par [NOM]?</t>
  </si>
  <si>
    <t>Est-ce que [NOM] a pris une collation, c'est-à-dire quelque chose entre les grands repas (biscuit, grillade, etc.) acheté hors du ménage ou reçu en cadeau au cours des 7 derniers jours?</t>
  </si>
  <si>
    <t>Pour les 7 derniers jours, quel est le montant dépensé pour la collation par [NOM]?</t>
  </si>
  <si>
    <t>Pour les 7 derniers jours, à combien estimez-vous le montant en cas de cadeau pour la collation pris à l'extérieur par [NOM]?</t>
  </si>
  <si>
    <t>Est-ce que [NOM] a consommé une boisson chaude (café, thé, etc.) achetée hors du ménage ou reçue en cadeau au cours des 7 derniers jours?</t>
  </si>
  <si>
    <t>Pour les 7 derniers jours, quel est le montant dépensé pour les boissons chaudes pris à l'extérieur par [NOM]?</t>
  </si>
  <si>
    <t>Pour les 7 derniers jours, à combien estimez-vous le montant en cas de cadeau pour les boissons chaudes prises à l'extérieur par [NOM]?</t>
  </si>
  <si>
    <t>Est-ce que [NOM] a consommé une boisson non alcoolisée (eau en sachet ou en bouteille, jus en sachet ou en bouteille, sucreries, lait, yaourt, etc.) achetée hors du ménage ou reçue en cadeau au cours des 7 derniers jours ?</t>
  </si>
  <si>
    <t>Pour les 7 derniers jours, quel est le montant dépensé en boisson non alcoolisée pris à l'extérieur par [NOM]?</t>
  </si>
  <si>
    <t>Pour les 7 derniers jours, à combien estimez-vous le montant en cas de cadeau en boisson non alcoolisée pris à l'extérieur par [NOM]?</t>
  </si>
  <si>
    <t>Est-ce que [NOM] a consommé une boisson alcoolisée (bière locale ou importée, vin, whisky, etc.) achetée hors du ménage ou reçue en cadeau au cours des 7 derniers jours?</t>
  </si>
  <si>
    <t>Pour les 7 derniers jours, quel est le montant dépensé en boisson alcoolisée pris à l'extérieur par [NOM]?</t>
  </si>
  <si>
    <t>Pour les 7 derniers jours, à combien estimez-vous le montant en cas de cadeau en boisson alcoolisée pris à l'extérieur par [NOM]?</t>
  </si>
  <si>
    <t>1 Oui, acheté uniquement</t>
  </si>
  <si>
    <t>3 Oui, acheté et recu en cadeau</t>
  </si>
  <si>
    <t>4 Non
►Ligne suivante</t>
  </si>
  <si>
    <t>SECTION 7B: CONSOMMATION ALIMENTAIRE DES 7 DERNIERS JOURS ET ACHAT DES 30 DERNIERS JOURS</t>
  </si>
  <si>
    <t>(7B.00)  Ecrivez le code ID du principal répondant à la section :</t>
  </si>
  <si>
    <t>Consommation des 7 derniers jours</t>
  </si>
  <si>
    <t>Dernier achat des 30 derniers jours</t>
  </si>
  <si>
    <t>(7B.01)</t>
  </si>
  <si>
    <t>(7B.02)</t>
  </si>
  <si>
    <t>(7B.03)</t>
  </si>
  <si>
    <t>(7B.04)</t>
  </si>
  <si>
    <t>(7B.05)</t>
  </si>
  <si>
    <t>(7B.06)</t>
  </si>
  <si>
    <t>(7B.07)</t>
  </si>
  <si>
    <t>(7B.08)</t>
  </si>
  <si>
    <t>Code Produit</t>
  </si>
  <si>
    <r>
      <rPr>
        <b/>
        <sz val="8"/>
        <rFont val="Arial Narrow"/>
        <family val="2"/>
      </rPr>
      <t>LIRE LE NOM DE CHAQUE PRODUIT
ECRIRE LA REPONSE POUR CHAQUE PRODUIT  A 7B.02 AVANT DE POSER LES QUESTIONS 7B.03 A 7B.08</t>
    </r>
    <r>
      <rPr>
        <sz val="8"/>
        <rFont val="Arial Narrow"/>
        <family val="2"/>
      </rPr>
      <t xml:space="preserve">
</t>
    </r>
  </si>
  <si>
    <t>Votre ménage a-t-il consommé  [PRODUIT] au cours des 7 derniers jours?</t>
  </si>
  <si>
    <t xml:space="preserve">Quelle est la quantité totale du [PRODUIT] consommé par le ménage au cours des 7 derniers jours?
</t>
  </si>
  <si>
    <t>Parmi cette quantité consommée, quelle est celle qui provient de la production propre du ménage (agriculture, élevage, pêche, aquaculture, chasse, cueillette?</t>
  </si>
  <si>
    <t>Parmi cette quantité consommée, quelle est celle qui provient d'autres sources (cadeau, prélèvement de son propre commerce, troc, etc.)?</t>
  </si>
  <si>
    <t xml:space="preserve">Quelle est la dernière fois que le [PRODUIT] a été acheté dans le ménage? 
1=Hier 
2=7 dernier jours 
3=30 derniers jours 
4=Plus de 30 jours ►Ligne suivante 
5=Jamais ►Ligne suivante
</t>
  </si>
  <si>
    <t>Quelle est la quantité du [PRODUIT] acheté la dernière fois?</t>
  </si>
  <si>
    <t>Quelle est la valeur du [PRODUIT] acheté la dernière fois?</t>
  </si>
  <si>
    <t xml:space="preserve">1=Oui                               </t>
  </si>
  <si>
    <t>Libellé des Produits</t>
  </si>
  <si>
    <t>QUANTITE</t>
  </si>
  <si>
    <t>UNITE</t>
  </si>
  <si>
    <t>MONTANT (FCFA)</t>
  </si>
  <si>
    <t>CÉRÉALES ET PAINS</t>
  </si>
  <si>
    <t>Riz local type 1</t>
  </si>
  <si>
    <t>Riz local type 2</t>
  </si>
  <si>
    <t>Riz importé 1</t>
  </si>
  <si>
    <t>Riz importé 2</t>
  </si>
  <si>
    <t>Maïs en épi</t>
  </si>
  <si>
    <t>Maïs en grain</t>
  </si>
  <si>
    <t>Mil</t>
  </si>
  <si>
    <t>Sorgho</t>
  </si>
  <si>
    <t>Blé</t>
  </si>
  <si>
    <t>Fonio</t>
  </si>
  <si>
    <t>Autres céréales</t>
  </si>
  <si>
    <t>Farine de maïs</t>
  </si>
  <si>
    <t>semoule de mais</t>
  </si>
  <si>
    <t>Farine/semoule de mil</t>
  </si>
  <si>
    <t>semoule de mil</t>
  </si>
  <si>
    <t>Farine de blé local ou importé</t>
  </si>
  <si>
    <t xml:space="preserve">semoule de blé </t>
  </si>
  <si>
    <t>Autres farines de céréales</t>
  </si>
  <si>
    <t>Autres semoules de céréales</t>
  </si>
  <si>
    <t>Pâtes alimentaires</t>
  </si>
  <si>
    <t>Pain moderne</t>
  </si>
  <si>
    <t xml:space="preserve">Pain traditionnel </t>
  </si>
  <si>
    <t>Croissants</t>
  </si>
  <si>
    <t>Biscuits</t>
  </si>
  <si>
    <t>Gâteaux</t>
  </si>
  <si>
    <t>Beignets, galettes</t>
  </si>
  <si>
    <t>VIANDE</t>
  </si>
  <si>
    <t>Viande de bœuf</t>
  </si>
  <si>
    <t>Viande de chameau</t>
  </si>
  <si>
    <t>Viande de mouton</t>
  </si>
  <si>
    <t>Viande de chèvre</t>
  </si>
  <si>
    <t>Abats et tripes (foie, rognon, etc.)</t>
  </si>
  <si>
    <t>Viande de porc</t>
  </si>
  <si>
    <t>Poulet sur pied</t>
  </si>
  <si>
    <t>Viande de poulet</t>
  </si>
  <si>
    <t>Viande d'autres volailles domestiques</t>
  </si>
  <si>
    <t>Charcuterie (jambon, saucisson), conserves de viandes</t>
  </si>
  <si>
    <t>Viande séchée (boeuf, mouton, chameau)</t>
  </si>
  <si>
    <t>Gibiers</t>
  </si>
  <si>
    <t xml:space="preserve">Autres viandes n.d.a. </t>
  </si>
  <si>
    <t>POISSON ET FRUITS DE MER</t>
  </si>
  <si>
    <t>Poisson frais type 1</t>
  </si>
  <si>
    <t>Poisson frais type 2</t>
  </si>
  <si>
    <t>Poisson frais type 3</t>
  </si>
  <si>
    <t>Poisson frais type 4</t>
  </si>
  <si>
    <t>Poisson fumé type 1</t>
  </si>
  <si>
    <t>Poisson fumé type 2</t>
  </si>
  <si>
    <t>Poisson séché</t>
  </si>
  <si>
    <t>Crabes</t>
  </si>
  <si>
    <t>Crevettes fraiches</t>
  </si>
  <si>
    <t>Crevettes séchées</t>
  </si>
  <si>
    <t>autres fruits de mer</t>
  </si>
  <si>
    <t xml:space="preserve">Conserves de poisson </t>
  </si>
  <si>
    <t>LAIT, FROMAGE ET OEUFS</t>
  </si>
  <si>
    <t>Lait frais</t>
  </si>
  <si>
    <t>Lait caillé, yaourt</t>
  </si>
  <si>
    <t>Lait concentré sucré</t>
  </si>
  <si>
    <t>Lait concentré non-sucré</t>
  </si>
  <si>
    <t>Lait en poudre</t>
  </si>
  <si>
    <t>Fromage</t>
  </si>
  <si>
    <t>Lait et farines pour bébé</t>
  </si>
  <si>
    <t>Autres produits laitiers</t>
  </si>
  <si>
    <t xml:space="preserve">Œufs </t>
  </si>
  <si>
    <t>HUILES ET GRAISSES</t>
  </si>
  <si>
    <t>Beurre</t>
  </si>
  <si>
    <t>Beurre de karité</t>
  </si>
  <si>
    <t>Huile de palme rouge</t>
  </si>
  <si>
    <t>Huile d'arachide</t>
  </si>
  <si>
    <t>Huile de coton</t>
  </si>
  <si>
    <t>Huile de palme raffinée</t>
  </si>
  <si>
    <t>Noix de palme</t>
  </si>
  <si>
    <t>Autres huiles n.d.a. (maïs, soja, huile palmiste, etc.)</t>
  </si>
  <si>
    <t>FRUITS</t>
  </si>
  <si>
    <t>Mangue</t>
  </si>
  <si>
    <t>Ananas</t>
  </si>
  <si>
    <t xml:space="preserve">Orange </t>
  </si>
  <si>
    <t>Banane douce</t>
  </si>
  <si>
    <t>Citrons</t>
  </si>
  <si>
    <t>Autres agrumes</t>
  </si>
  <si>
    <t>Avocats</t>
  </si>
  <si>
    <t>Pastèque</t>
  </si>
  <si>
    <t>Melon</t>
  </si>
  <si>
    <t>Dattes</t>
  </si>
  <si>
    <t>Noix de coco</t>
  </si>
  <si>
    <t>Canne à sucre</t>
  </si>
  <si>
    <t>Pommes</t>
  </si>
  <si>
    <t xml:space="preserve">Autres fruits </t>
  </si>
  <si>
    <t>LÉGUMES</t>
  </si>
  <si>
    <t>Salade (laitue)</t>
  </si>
  <si>
    <t>Choux</t>
  </si>
  <si>
    <t>Carotte</t>
  </si>
  <si>
    <t xml:space="preserve"> Haricot vert</t>
  </si>
  <si>
    <t>Concombre</t>
  </si>
  <si>
    <t xml:space="preserve">Aubergine,  </t>
  </si>
  <si>
    <t>Courge/Courgette</t>
  </si>
  <si>
    <t>Poivron frais</t>
  </si>
  <si>
    <t>Tomate fraîche</t>
  </si>
  <si>
    <t>Tomate séchée</t>
  </si>
  <si>
    <t>Gombo frais</t>
  </si>
  <si>
    <t>Gombo sec</t>
  </si>
  <si>
    <t>Oignon frais</t>
  </si>
  <si>
    <t>Ail</t>
  </si>
  <si>
    <t>Feuilles locales 1</t>
  </si>
  <si>
    <t>Feuilles locales 2</t>
  </si>
  <si>
    <t>Feuilles locales 3</t>
  </si>
  <si>
    <t>Feuilles locales 4</t>
  </si>
  <si>
    <t>Autres légumes en feuilles</t>
  </si>
  <si>
    <t>Autre légumes frais n.d.a.</t>
  </si>
  <si>
    <t>Concentré de tomate</t>
  </si>
  <si>
    <t>LEGUMINEUSES ET TUBERCULES</t>
  </si>
  <si>
    <t>Petits pois</t>
  </si>
  <si>
    <t>Petit pois secs</t>
  </si>
  <si>
    <t>Autres légumes secs n.d.a.</t>
  </si>
  <si>
    <t>Niébé/Haricots secs</t>
  </si>
  <si>
    <t>Arachides fraîches en coques</t>
  </si>
  <si>
    <t>Arachides séchées en coques</t>
  </si>
  <si>
    <t>Arachides décortiquées</t>
  </si>
  <si>
    <t>Arachides pilées</t>
  </si>
  <si>
    <t>Arachide grillée</t>
  </si>
  <si>
    <t>Pâte d'arachide</t>
  </si>
  <si>
    <t>Fromage à base de soja</t>
  </si>
  <si>
    <t>Sésame</t>
  </si>
  <si>
    <t>Noix de cajou</t>
  </si>
  <si>
    <t>Noix de karité</t>
  </si>
  <si>
    <t>Manioc</t>
  </si>
  <si>
    <t>Igname</t>
  </si>
  <si>
    <t>Plantain</t>
  </si>
  <si>
    <t>Pomme de terre</t>
  </si>
  <si>
    <t>Taro, macabo</t>
  </si>
  <si>
    <t>Patate douce</t>
  </si>
  <si>
    <t>Autres tubercules n.d.a.</t>
  </si>
  <si>
    <t>Farines de manioc</t>
  </si>
  <si>
    <t>Gari, tapioca</t>
  </si>
  <si>
    <t>Attiéke</t>
  </si>
  <si>
    <t>Fruit de Kapokier</t>
  </si>
  <si>
    <t>SUCRE, MIEL, CHOCOLAT ET CONFISERIE</t>
  </si>
  <si>
    <t xml:space="preserve">Sucre poudre </t>
  </si>
  <si>
    <t>Sucre morceaux</t>
  </si>
  <si>
    <t>Miel</t>
  </si>
  <si>
    <t>Chocolat à croquer, pâte à tartiner</t>
  </si>
  <si>
    <t>Caramel, bonbons, confiseries, etc.</t>
  </si>
  <si>
    <t>EPICES, CONDIMENTS ET AUTRES</t>
  </si>
  <si>
    <t>Sel</t>
  </si>
  <si>
    <t>Piment séché</t>
  </si>
  <si>
    <t>Piment frais</t>
  </si>
  <si>
    <t>Gingembre frais</t>
  </si>
  <si>
    <t>Gingembre moulu</t>
  </si>
  <si>
    <t>Cube alimentaire (Maggi, Jumbo, )</t>
  </si>
  <si>
    <t>Arôme (Maggi, Jumbo, etc.)</t>
  </si>
  <si>
    <t>Soumbala (moutarde africaine)</t>
  </si>
  <si>
    <t>Mayonnaise</t>
  </si>
  <si>
    <t>Vinaigre</t>
  </si>
  <si>
    <t>Moutarde</t>
  </si>
  <si>
    <t>Poivre</t>
  </si>
  <si>
    <t>Autres condiments (poivre etc.)</t>
  </si>
  <si>
    <t>Noix de cola</t>
  </si>
  <si>
    <t>Autres produits alimentaires</t>
  </si>
  <si>
    <t>BOISSONS</t>
  </si>
  <si>
    <t>Café en poudre</t>
  </si>
  <si>
    <t>Café soluble</t>
  </si>
  <si>
    <t>Thé</t>
  </si>
  <si>
    <t>Chocolat en poudre</t>
  </si>
  <si>
    <t>Autres tisanes et infusions n.d.a. (quinquelibat, citronelle, etc.)</t>
  </si>
  <si>
    <t>Jus de fruits (orange, bissap, gingembre, jus de cajou,etc.)</t>
  </si>
  <si>
    <t>Eau minérale/ filtrée</t>
  </si>
  <si>
    <t>Boissons gazeuses (coca, etc.)</t>
  </si>
  <si>
    <t>Jus en poudre</t>
  </si>
  <si>
    <t>Bières et vins traditionnels (dolo, vin de palme, vin de raphia, vin de cajou, etc.)</t>
  </si>
  <si>
    <t>Bières industrielles</t>
  </si>
  <si>
    <t>SECTION 8: SECURITÉ ALIMENTAIRE</t>
  </si>
  <si>
    <t>Echelle d'expérience d'insécurité alimentaire</t>
  </si>
  <si>
    <t>Au cours des 12 derniers mois, vous ou d'autres membres de votre ménage avez été inquiets de ne pas avoir suffisamment de nourriture par manque d'argent ou d'autres ressources?</t>
  </si>
  <si>
    <t xml:space="preserve">Au cours des 12 derniers mois, votre ménage n’avait plus de nourriture parce qu’il n’y avait pas assez d’argent ou d’autres ressources? </t>
  </si>
  <si>
    <t>Oui</t>
  </si>
  <si>
    <t>Non</t>
  </si>
  <si>
    <t>Ne Sait pas</t>
  </si>
  <si>
    <t xml:space="preserve">Au cours des 12 derniers mois, vous ou d'autres membres de votre ménage avez eu faim mais vous n’avez pas mangé parce qu’il n’y avait pas assez d’argent ou d’autres ressources pour vous procurer à manger? </t>
  </si>
  <si>
    <t>Au cours des 12 derniers mois, vous ou d'autres membres du ménage n’avez pas pu manger une nourriture saine et nutritive par manque d’argent ou d’autres ressources?</t>
  </si>
  <si>
    <t>Au cours des 12 derniers mois, est-il souvent arrivé que vous ou d'autres membres du ménage ayez faim mais n'avez pas mangé parce qu'il n'y avait pas suffisament d'argent ou de resources pour la nourriture? Celà est- il arrivé une ou deux fois, pendant quelques mois mais pas tous les mois, ou presque tous les mois?</t>
  </si>
  <si>
    <t>Au cours des 12 derniers mois, vous ou d'autres membres du ménage avez mangé une nourriture peu variée par manque d’argent ou d’autres ressources?</t>
  </si>
  <si>
    <t xml:space="preserve"> Seulement une ou deux fois </t>
  </si>
  <si>
    <t>Quelques mois, mais pas tous les mois</t>
  </si>
  <si>
    <t>Presque tous les mois</t>
  </si>
  <si>
    <t xml:space="preserve">Ne sait pas </t>
  </si>
  <si>
    <t xml:space="preserve">Au cours des 12 derniers mois, vous ou d'autres membres du ménage avez dû sauter un repas parce que vous n’aviez pas assez d’argent ou d’autres ressources pour vous procurer à manger? </t>
  </si>
  <si>
    <r>
      <t xml:space="preserve">Au cours des 12 derniers mois, </t>
    </r>
    <r>
      <rPr>
        <sz val="9"/>
        <color indexed="17"/>
        <rFont val="Arial Narrow"/>
        <family val="2"/>
      </rPr>
      <t>v</t>
    </r>
    <r>
      <rPr>
        <sz val="9"/>
        <color indexed="8"/>
        <rFont val="Arial Narrow"/>
        <family val="2"/>
      </rPr>
      <t>ous ou d'autres membres de votre ménage avez passé toute une journée sans manger par manque d’argent ou d’autres ressources?</t>
    </r>
  </si>
  <si>
    <t xml:space="preserve">Au cours des 12 derniers mois, vous ou d'autres membres du ménage avez mangé moins que ce que vous pensiez que vous auriez dû manger à cause d’un manque d’argent ou d’autres ressources? </t>
  </si>
  <si>
    <t>Au cours des 12 derniers mois, est-il souvent arrivé que vous ou d'autres membres de votre ménage ayez passé toute une journée sans manger par manque d’argent ou d’autres ressources? Celà est- il arrivé une ou deux fois, pendant quelques mois mais pas tous les mois, ou presque tous les mois?</t>
  </si>
  <si>
    <t>SECTION 9 : DÉPENSES RÉTROSPECTIVES ALIMENTAIRES ET NON ALIMENTAIRES DU MÉNAGE</t>
  </si>
  <si>
    <t>PARTIE A: DEPENSES DES FETES ET CEREMONIES AU COURS DES 12 DERNIERS MOIS</t>
  </si>
  <si>
    <t>(9A.00)</t>
  </si>
  <si>
    <t>Ecrivez le code ID du principal répondant à la section :</t>
  </si>
  <si>
    <t>(9A.01)</t>
  </si>
  <si>
    <t>(9A.02)</t>
  </si>
  <si>
    <t>(9A.03)</t>
  </si>
  <si>
    <t>(9A.04)</t>
  </si>
  <si>
    <t>(9A.05)</t>
  </si>
  <si>
    <t>(9A.06)</t>
  </si>
  <si>
    <t>(9A.07)</t>
  </si>
  <si>
    <t>Code événement</t>
  </si>
  <si>
    <t xml:space="preserve">Au cours des 12 derniers mois, avez-vous effectuez des dépenses pour les fêtes, (dépenses non mentionnées précédemment)?                                        </t>
  </si>
  <si>
    <t>Quel est le montant total de cette dépense en alimentation?</t>
  </si>
  <si>
    <t>Quel est le montant total de cette dépense en boissons?</t>
  </si>
  <si>
    <t>Quel est le montant total de cette dépense en habits, chaussures, coiffure (y compris les mèches), et bijoux?</t>
  </si>
  <si>
    <t>Quel est le montant total de cette dépense en location de salles, de chaises, et autres locations?</t>
  </si>
  <si>
    <t>Quel est le montant total des autres dépenses non alimentaires ?</t>
  </si>
  <si>
    <t>1=Oui</t>
  </si>
  <si>
    <t xml:space="preserve"> 2=Non  ►Ligne suivante</t>
  </si>
  <si>
    <t>DEMANDEZ D'ABORD POUR TOUS LES EVENEMENTS ET METTRE 1 POUR OUI OU 2 POUR NON DANS LA COLONNE CORRESPONDANTE</t>
  </si>
  <si>
    <r>
      <t>Fin du Ramadan</t>
    </r>
    <r>
      <rPr>
        <sz val="9"/>
        <color indexed="17"/>
        <rFont val="Arial Narrow"/>
        <family val="2"/>
      </rPr>
      <t xml:space="preserve"> 2021</t>
    </r>
  </si>
  <si>
    <r>
      <t xml:space="preserve">Tabaski </t>
    </r>
    <r>
      <rPr>
        <sz val="9"/>
        <color indexed="17"/>
        <rFont val="Arial Narrow"/>
        <family val="2"/>
      </rPr>
      <t>2021</t>
    </r>
  </si>
  <si>
    <t>03</t>
  </si>
  <si>
    <t>Autres fêtes réligieuses musulmanes</t>
  </si>
  <si>
    <t>04</t>
  </si>
  <si>
    <r>
      <t xml:space="preserve">Noël </t>
    </r>
    <r>
      <rPr>
        <sz val="9"/>
        <color indexed="17"/>
        <rFont val="Arial Narrow"/>
        <family val="2"/>
      </rPr>
      <t>2020</t>
    </r>
  </si>
  <si>
    <t>05</t>
  </si>
  <si>
    <r>
      <t xml:space="preserve">Pâques </t>
    </r>
    <r>
      <rPr>
        <sz val="9"/>
        <color indexed="17"/>
        <rFont val="Arial Narrow"/>
        <family val="2"/>
      </rPr>
      <t>2021</t>
    </r>
  </si>
  <si>
    <t>06</t>
  </si>
  <si>
    <t>Autres fêtes réligieuses chrétiennes</t>
  </si>
  <si>
    <t>07</t>
  </si>
  <si>
    <t>Fête des autres réligions /traditions</t>
  </si>
  <si>
    <t>08</t>
  </si>
  <si>
    <r>
      <t xml:space="preserve">Nouvel an </t>
    </r>
    <r>
      <rPr>
        <sz val="9"/>
        <color indexed="17"/>
        <rFont val="Arial Narrow"/>
        <family val="2"/>
      </rPr>
      <t>2021</t>
    </r>
  </si>
  <si>
    <t>09</t>
  </si>
  <si>
    <t>Mariage</t>
  </si>
  <si>
    <t>10</t>
  </si>
  <si>
    <t>Baptêmes</t>
  </si>
  <si>
    <t>11</t>
  </si>
  <si>
    <t>Communion/Confirmation</t>
  </si>
  <si>
    <t>12</t>
  </si>
  <si>
    <t>Funérailles/deuils</t>
  </si>
  <si>
    <t>13</t>
  </si>
  <si>
    <t>Autre événement</t>
  </si>
  <si>
    <t>SECTION 9: DÉPENSES RÉTROSPECTIVES NON ALIMENTAIRES DU MÉNAGE</t>
  </si>
  <si>
    <t>PARTIE B: DEPENSES NON ALIMENTAIRES DES 7 DERNIERS JOURS</t>
  </si>
  <si>
    <t>(9B.01)</t>
  </si>
  <si>
    <t>(9B.02)</t>
  </si>
  <si>
    <t>(9B.03)</t>
  </si>
  <si>
    <t>Code Produit/Service</t>
  </si>
  <si>
    <t>INTITULE DU PRODUIT/SERVICE</t>
  </si>
  <si>
    <t xml:space="preserve">Votre ménage a-t-il acheté ou ramassé [PRODUIT/SERVICE] au cours des 7 derniers jours? </t>
  </si>
  <si>
    <t>Quel est le montant dépensé au cours des 7 derniers jours?</t>
  </si>
  <si>
    <t>Montant en FCFA</t>
  </si>
  <si>
    <t>2 Non ► Produit/Service suivant</t>
  </si>
  <si>
    <t>Cigarettes, Tabac</t>
  </si>
  <si>
    <t>Pétrole lampant</t>
  </si>
  <si>
    <t>Charbon de bois/Charbon minéral</t>
  </si>
  <si>
    <t>Bois de chauffe acheté</t>
  </si>
  <si>
    <t>Bois de chauffe ramassé (estimer la valeur)</t>
  </si>
  <si>
    <t>Bougies</t>
  </si>
  <si>
    <t>Allumettes</t>
  </si>
  <si>
    <t xml:space="preserve">Carburant pour véhicule </t>
  </si>
  <si>
    <t>Carburant pour motocyclette</t>
  </si>
  <si>
    <t>Transport urbain en taxi</t>
  </si>
  <si>
    <t>Transport urbain en bus</t>
  </si>
  <si>
    <t>Transport urbain/rural en moto-taxi</t>
  </si>
  <si>
    <t>Transport urbain en train</t>
  </si>
  <si>
    <t>Transport urbain/rural par voie fluviale</t>
  </si>
  <si>
    <t>Transport urbain/rural par traction animale</t>
  </si>
  <si>
    <t xml:space="preserve">Journaux </t>
  </si>
  <si>
    <t>Frais de mouture des céréales</t>
  </si>
  <si>
    <t>SECTION 9 : DÉPENSES RÉTROSPECTIVES NON ALIMENTAIRES DU MÉNAGE</t>
  </si>
  <si>
    <t>PARTIE C: DEPENSES NON ALIMENTAIRES DES 30 DERNIERS JOURS</t>
  </si>
  <si>
    <t>(9C.01)</t>
  </si>
  <si>
    <t>(9C.02)</t>
  </si>
  <si>
    <t>(9C.03)</t>
  </si>
  <si>
    <t xml:space="preserve">Votre ménage a-t-il acheté [PRODUIT/SERVICE] au cours des 30 derniers jours? </t>
  </si>
  <si>
    <t>Quel est le montant dépensé au cours des 30 derniers jours?</t>
  </si>
  <si>
    <t>2 Non ► Produit /service suivant</t>
  </si>
  <si>
    <t>Whisky et autres liqueurs</t>
  </si>
  <si>
    <t>Vins modernes</t>
  </si>
  <si>
    <t>Gaz domestique</t>
  </si>
  <si>
    <t>Carburant pour groupe electrogène à usage domestique</t>
  </si>
  <si>
    <t xml:space="preserve">Piles électriques, </t>
  </si>
  <si>
    <t>Savon de ménage, lessive en poudre, détergents (eau de javel, etc.)</t>
  </si>
  <si>
    <t>Insecticide, tortillon anti-moustique</t>
  </si>
  <si>
    <t>Salaire du personnel de maison (gardien, boy, chauffeur, cuisinier, etc.)</t>
  </si>
  <si>
    <t>Frais de blanchiment des vêtements, linge, etc. (Pressing)</t>
  </si>
  <si>
    <t>Frais de ramassage des ordures ménagères</t>
  </si>
  <si>
    <t>Lavage de véhicules</t>
  </si>
  <si>
    <t>Frais de parking</t>
  </si>
  <si>
    <t>Frais de communication téléphonique dans une cabine/ télécentre</t>
  </si>
  <si>
    <t>Billet de lotterie nationale, billet de PMU</t>
  </si>
  <si>
    <t>Revues, journal ou magazine mensuel etc.</t>
  </si>
  <si>
    <t>Frais de coiffure homme et femme (salon, tressage, mèches, coupe, etc.), manucure, pédicure</t>
  </si>
  <si>
    <t>Savon de toilette, shampoing</t>
  </si>
  <si>
    <t>Pâte dentifrice</t>
  </si>
  <si>
    <t>Papier toilette</t>
  </si>
  <si>
    <t>Serviettes hygiéniques, couches jetables pour bébé, etc.</t>
  </si>
  <si>
    <t>Lait, lotion de toilette corporelle (glycérine, vaseline, etc.), produits de maquillage</t>
  </si>
  <si>
    <t>Masque facial jetable  contre le COVID-19</t>
  </si>
  <si>
    <t>Gel hydro-alcoolique</t>
  </si>
  <si>
    <t>Autres produits de toilettes (rasoir, coton, crème/mousse à raser etc.)</t>
  </si>
  <si>
    <t>PARTIE D: DEPENSES NON ALIMENTAIRES DES 3 DERNIERS MOIS</t>
  </si>
  <si>
    <t>(9D.01)</t>
  </si>
  <si>
    <t>(9D.02)</t>
  </si>
  <si>
    <t>(9D.03)</t>
  </si>
  <si>
    <t xml:space="preserve">Votre ménage a-t-il acheté [PRODUIT/SERVICE] au cours des 3 derniers mois? </t>
  </si>
  <si>
    <t>Quel est le montant dépensé au cours des 3 derniers mois?</t>
  </si>
  <si>
    <t>2 Non ► Produit/service suivant</t>
  </si>
  <si>
    <t>Frais d'entretien et de réparation de chaussures: cirage, ressemelage, etc.</t>
  </si>
  <si>
    <t>Ampoules électriques pour le logement</t>
  </si>
  <si>
    <t>Lubrifiants (huile moteur; huile de frein; liquide batterie (acide); graisses; autres lubrifiants n.d.a.)</t>
  </si>
  <si>
    <t>Services de réparation et d'entretien (vidange, graissage, etc.) de moyens de transport personnel (voitures, motos, bicyclette, etc.)</t>
  </si>
  <si>
    <t>Transport inter-localité par voitures</t>
  </si>
  <si>
    <t>Transport inter-localité à traction animale</t>
  </si>
  <si>
    <t>Transport  interlocalité par eau (bateau, pirogue, pinasse)</t>
  </si>
  <si>
    <t>Frais de timbre postaux, d'expédition de mandat, etc</t>
  </si>
  <si>
    <t>Frais d'envoi de fax</t>
  </si>
  <si>
    <t>Produits pour le jardinage (plantes et fleurs ornementales), pas pour l'agriculture</t>
  </si>
  <si>
    <t>Aliments, frais d'entretien, frais de vétérinaire des animaux de compagnie (chiens, chats, etc.)</t>
  </si>
  <si>
    <t>Droit d'entrée (achat d'un ticket) à des manifestations sportives.</t>
  </si>
  <si>
    <t>Droit d'entrée (achat d'un ticket) pour cinéma, concert, pièce de théâtre, musée, expositions, etc</t>
  </si>
  <si>
    <t>Autres services récréatifs: services de photographe (développement, tirage), photo d'identité, etc.</t>
  </si>
  <si>
    <t>Masque facial lavable contre le COVID-19</t>
  </si>
  <si>
    <t>Médicaments achetés en pharmacie sans ordonnance: alcool, pansements, paracétamol, médicaments les affections courantes (paludisme, toux, rhume, diarrhée/disenterie, vers intestinaux, etc.)</t>
  </si>
  <si>
    <t>Parfums</t>
  </si>
  <si>
    <t>Brosse à dents</t>
  </si>
  <si>
    <t>Contraceptifs</t>
  </si>
  <si>
    <t>Frais de photocopies de document</t>
  </si>
  <si>
    <t>Ticket de peage et assimilé</t>
  </si>
  <si>
    <t>PARTIE E: DEPENSES NON ALIMENTAIRES DES 6 DERNIERS MOIS</t>
  </si>
  <si>
    <t>(9E.01)</t>
  </si>
  <si>
    <t>(9E.02)</t>
  </si>
  <si>
    <t>(9E.03)</t>
  </si>
  <si>
    <r>
      <t xml:space="preserve">INTITULE DU PRODUIT/SERVICE                                                                                                                                                                                             </t>
    </r>
    <r>
      <rPr>
        <sz val="9"/>
        <rFont val="Arial Narrow"/>
        <family val="2"/>
      </rPr>
      <t>(NE PAS INCLURE LES PAGNES, VETEMENTS, CHAUSSURES ET BIJOUX ACHETES A L'OCCASION DES FETES ET CEREMONIES COMME LA TABASKI, LA FIN DE RAMADAN, NOEL, PAQUES, NOUVEL AN, MARIAGE, FUNERAILLES, BAPTEMES, ETC. QUI ONT ÉTÉ INSCRITES DANS LES SECTIONS PRÉCÉDENTES)</t>
    </r>
  </si>
  <si>
    <t xml:space="preserve">Votre ménage a-t-il acheté [PRODUIT/SERVICE] au cours des 6 derniers mois? </t>
  </si>
  <si>
    <t>Quel est le montant dépensé au cours des 6 derniers mois?</t>
  </si>
  <si>
    <t>Tissus d'habillement: tissus pagne, tissu pagne du tisserand, tissu synthétique, etc.</t>
  </si>
  <si>
    <t>Vêtements femmes (15 ans et plus): robe, jupe, pantalon, ensemble, etc.</t>
  </si>
  <si>
    <t>Sous-vêtements femme (15 ans et plus): slip, jupon, tee shirt,soutien gorge, collant, etc.</t>
  </si>
  <si>
    <t>Vêtements enfants (0-14 ans): layette pour bébé, chemise, pantalon garçon, robe fillette, slip enfant, blouses, etc. (Pas inclure les uniformes scolaires)</t>
  </si>
  <si>
    <t>Vêtements hommes (15 ans et plus): chemise, pantalon, veste, ensemble, vêtements de travail, etc.</t>
  </si>
  <si>
    <t>Sous-vêtements homme (15 ans et plus): slip, chaussettes, tee shirt et maillot de corps, etc.</t>
  </si>
  <si>
    <t>Frais de confection et de réparation de vêtements homme: ensemble, pantalon, chemise, réparation, location vêtement, etc.</t>
  </si>
  <si>
    <t>Frais de confection et de réparation de vêtements femme: robe, pantalon, jupe, ensemble, réparation, location, etc.</t>
  </si>
  <si>
    <t xml:space="preserve">Frais de confection et de réparation de vêtements enfants </t>
  </si>
  <si>
    <t xml:space="preserve">Chaussures hommes </t>
  </si>
  <si>
    <t xml:space="preserve">Chaussures femmes </t>
  </si>
  <si>
    <t xml:space="preserve">Chaussures enfants </t>
  </si>
  <si>
    <t>PARTIE F: DEPENSES NON ALIMENTAIRES DES 12 DERNIERS MOIS</t>
  </si>
  <si>
    <t>(9F.01)</t>
  </si>
  <si>
    <t>(9F.02)</t>
  </si>
  <si>
    <t>(9F.03)</t>
  </si>
  <si>
    <t xml:space="preserve">Votre ménage a-t-il acheté [PRODUIT/SERVICE] au cours des 12 derniers mois? </t>
  </si>
  <si>
    <t>Quel est le montant dépensé au cours des 12 derniers mois?</t>
  </si>
  <si>
    <t xml:space="preserve">Matériel pour l'entretien et les petites réparations du logement (remplacement d'une tôle, d'une vitre, d'une ampoule, etc.) </t>
  </si>
  <si>
    <t>Main-d'oeuvre et services d'entretien et de réparation courante du logement  (vidange fosse septique,main d'œuvre pour l'entretien du logement, etc.)</t>
  </si>
  <si>
    <t>Matériaux de maçonnerie pour la construction ou les grosses réparations de logement: ciment, briques, fer à béton, sable, gravier, parpaings, etc.</t>
  </si>
  <si>
    <t>Autres matériaux pour la construction ou les grosses réparations de logement: tôles, bois de charpente, planches, lattes, contre-plaqués, matériaux d'électricité, matériaux de plomberie, matériaux de peinture, carreaux, tapis et revêtement du sol, etc.</t>
  </si>
  <si>
    <t>Main-d'oeuvre pour la construction et les grosses réparation de logement (maçonnerie, toiture et charpente, électricité, plomberie, menuiserie, peinture et revêtement du sol), etc.</t>
  </si>
  <si>
    <t>Frais d'acquisition d'un terrain ou d'un logement</t>
  </si>
  <si>
    <t>Frais d'études et d'architecte</t>
  </si>
  <si>
    <t>Frais d'abonnement au réseau de distribution d'eau</t>
  </si>
  <si>
    <t>Frais d'abonnement au réseau de distribution d'électricité</t>
  </si>
  <si>
    <t>Frais de connexion au réseau de distribution d'eau</t>
  </si>
  <si>
    <t>Frais de connexion au réseau de distribution d'électricité</t>
  </si>
  <si>
    <t>Meubles de salon et de salle à manger (fauteuils, table, chaises, armoires, etc.)</t>
  </si>
  <si>
    <t>Lit, matelas, armoire et autres meubles de chambre à coucher</t>
  </si>
  <si>
    <t xml:space="preserve">Réparation de meubles (fauteuils, chaises, lits, armoires, etc.) </t>
  </si>
  <si>
    <t>Linge de maison et articles associés (serviettes de bain, drap, couverture, couvre-lit, oreillers, moustiquaire, nattes, tapis, rideaux, éventail, etc.)</t>
  </si>
  <si>
    <t xml:space="preserve">Appareils électro-ménagers: frigo, climatiseurs, réchaud, four, cuisinière, lave-linge, chauffe-eau, fer à repasser, etc. </t>
  </si>
  <si>
    <t>Plaque solaire </t>
  </si>
  <si>
    <t xml:space="preserve">Batterie pour plaque solaire et autre équipement/matériel pour installation solaire  </t>
  </si>
  <si>
    <t>Réparation d'appareils électro-ménagers (fer à repasser, frigo, cuisinière, four, réchaud, climatiseur, ventilateur, chauffe-eau, etc.)</t>
  </si>
  <si>
    <t>Vaisselle: assiettes, couteau, fourchette, cuillère, gobelets, verres, etc.</t>
  </si>
  <si>
    <t>Ustensiles de cuisine: casserole, marmite, tamis local, réparation d'ustensiles de cuisine, etc.</t>
  </si>
  <si>
    <t>Autres ustensiles de ménage: seau, bouilloire, biberon, poubelle, tasses, cafétière non électrique, théière, calebasse, louche, jarre, canari, mortier, pilon, etc.</t>
  </si>
  <si>
    <t>Outillage de maison: outils de bricolage (marteau, tournevis, etc.); outil de jardinage (pelle, râteau, brouette, etc.);</t>
  </si>
  <si>
    <t>Lampes électriques, lampes tempêtes, torches</t>
  </si>
  <si>
    <t xml:space="preserve"> Achat d'une voiture pour usage personnel</t>
  </si>
  <si>
    <t xml:space="preserve">Achat d'un motocycle (vélo, moto) pour usage personnel </t>
  </si>
  <si>
    <t>Pièces détachées de moyens de transport individuel: pneu, batterie, bougie, carburateur, etc.</t>
  </si>
  <si>
    <t>Frais d'assurance d'un moyen de transport individuel (auto, moto, etc.), assurance de voyage</t>
  </si>
  <si>
    <t>Vignette automobile/ moto</t>
  </si>
  <si>
    <t>Location d'un véhicule pour usage personnel: voiture, moto/vélo, etc.</t>
  </si>
  <si>
    <t>Transport inter-urbain en train dans le pays et à l'étranger</t>
  </si>
  <si>
    <t>Transport en avion dans le pays et à l'étranger</t>
  </si>
  <si>
    <t>Frais de déménagement</t>
  </si>
  <si>
    <t>Frais de visa, taxes d'aéroport</t>
  </si>
  <si>
    <t>Achat d'un téléphone portable</t>
  </si>
  <si>
    <t>Appareils de musique et d'images: radio, radio-cassette, chaîne de musique, TV, lecteur CD/DVD, MP3, MP4, caméra, camescope, etc.</t>
  </si>
  <si>
    <t>Ordinateur, imprimante, tablette,machine à écrire, etc.</t>
  </si>
  <si>
    <t>Réparation d'appareils électroniques: radio, radio-cassettes, TV, camera, lecteur CD/DVD, ordinateur, etc.</t>
  </si>
  <si>
    <t>Petit matériel électronique à usage personnel: cassettes, CD/DVD, clé USB, encre pour imprimante, papier d'impression photos, pellicule photos, etc.</t>
  </si>
  <si>
    <t>Articles de sport et de détente: ballon, jeu ludo, poids (pétanque), jeu de carte, jouets pour enfants, jeux vidéo, petits instruments de musique, etc.</t>
  </si>
  <si>
    <t>Livres non scolaires, bande dessinée</t>
  </si>
  <si>
    <t>Papier rame, enveloppes, articles de dessin (pinceaux, papier, peinture etc.), etc.</t>
  </si>
  <si>
    <t>Frais de pélérinage</t>
  </si>
  <si>
    <t>Formation professionnelle (en particulier directement auprès des ateliers, maîtres, etc.)</t>
  </si>
  <si>
    <t>Frais de cours particuliers pour adultes (alphabétisation) et personnes non scolarisées</t>
  </si>
  <si>
    <t>Services d'hébergement: chambres d'hôtel, etc.</t>
  </si>
  <si>
    <t>Montres, réveils</t>
  </si>
  <si>
    <t>Boucle d'oreilles, colliers, bracelets, bijoux, autres articles de bijouterie et joaillerie n.d.a.</t>
  </si>
  <si>
    <t>Autres effets personnels: valise, sac de voyage, sac à main, perruques, chapeau, lunettes solaires, parapluies, parasol, canne, porte-monnaie, portefeuille, articles pour fumeurs (cendrier etc.); articles pour bébé (poussette, sièges), articles funéraires, etc.</t>
  </si>
  <si>
    <t>Frais d'assurance d'une maison ou tout autre bien qu'un moyen de transport</t>
  </si>
  <si>
    <t>Taxes d'habitation (immeubles bâties et non bâties), taxes de voiries</t>
  </si>
  <si>
    <t>Frais d'assurance vie</t>
  </si>
  <si>
    <t>Frais d'assurance maladie</t>
  </si>
  <si>
    <t>Frais d'évacuations sanitaires (hors du pays)</t>
  </si>
  <si>
    <t>Frais de légalisation (confection) de documents administratifs (actes d'Etat-civil, diplômes, etc.)</t>
  </si>
  <si>
    <t>Autres services: annonce à la radio, dans un journal/à la télévision, pompe funèbre, etc.</t>
  </si>
  <si>
    <t>SECTION 10: ENTREPRISES NON AGRICOLES</t>
  </si>
  <si>
    <t>PARTIE A: EXISTENCE D'ENTREPRISES NON AGRICOLES</t>
  </si>
  <si>
    <t>Ecrire le code ID (numéro d'ordre) du répondant</t>
  </si>
  <si>
    <t>Au cours des 12 derniers mois, un membre de votre ménage a-t-il fait l'activité suivante:</t>
  </si>
  <si>
    <t>A fait des beignets; griller de la viande de boeuf, de mouton, ou de poulet; fabriquer des jus de fruits (gingembre, bissap); fabriquer de la bière de maïs ou de mil, fabriquer du pain ou des gâteaux pour revendre pour son propre compte?</t>
  </si>
  <si>
    <t>1 = Oui</t>
  </si>
  <si>
    <t xml:space="preserve">  2 = Non</t>
  </si>
  <si>
    <t>A-t-il possédé, à domicile ou ailleurs, une petite entreprise de confection de vêtements (tailleur), de fabrication de sandales ou autres chaussures ?</t>
  </si>
  <si>
    <t>A-t-il possédé, à domicile ou ailleurs, une entreprise travaillant dans le domaine de la construction de maisons (maçonnerie, électricité, plomberie) ou dans la menuiserie (fabrication de meubles, lits, portes, fenêtres) en bois ou en en métal tel que le fer ou l’aluminium ?</t>
  </si>
  <si>
    <t>A-t-il possédé, à domicile ou ailleurs, une entreprise de commerce (boutique, vente de matériaux de construction, de matériel informatique, de cartes téléphoniques, de cigarettes au bord de la route, vente de produits agricoles et d'élevage frais, etc.)?</t>
  </si>
  <si>
    <t>A-t-il exercé une profession libérale pour son propre compte (médecin, tradi-praticien, avocat, architecte possédant son cabinet ou étant associé, pharmacien ayant son officine, traducteur ou interprète travaillant comme son propre patron, Ingénieur ayant son propre bureau d'études, etc.) ?</t>
  </si>
  <si>
    <t>A-t-il possédé une entreprise rendant tout autre service; taxis, taxi-motos, autres services de transport, réparation et d'entretien (voitures, motos, radios, ordinateurs, TV, frigo, climatiseurs, etc.); lavage de voitures; cireur de chaussures; agent/démarcheur immobilier; cabine téléphonique, traitement de texte, photocopies, etc.?</t>
  </si>
  <si>
    <t>A-t-il possédé un restaurant, un bar, maquis; vendu des boissons, possédé un hôtel, une auberge/résidence louée?</t>
  </si>
  <si>
    <t>A t-il possédé une entreprise de location de chaises, tables, bâches, appareils de sonorisation?</t>
  </si>
  <si>
    <t>A-t-il possédé une tout autre entreprise non agricole, même s'il s'agit d'une petite activité s'exerçant à domicile ou dans la rue (exemple: fabrication et la vente d'objets d'artisanat, de tapis, de bijoux, tressage de nattes, etc.), tressage de cheveux, salon de coiffure, etc. ?</t>
  </si>
  <si>
    <t xml:space="preserve">  2=Non</t>
  </si>
  <si>
    <t xml:space="preserve"> ► Section 11    </t>
  </si>
  <si>
    <t>Manque de clientèle pour autres raisons</t>
  </si>
  <si>
    <t>PARTIE B : CARACTERISTIQUES DES ENTREPRISES NON AGRICOLES</t>
  </si>
  <si>
    <t>(10.12) Combien d'entreprises possédées par le ménage :</t>
  </si>
  <si>
    <t>NUMERO D'ORDRE DE L'ENTREPRISE  (N.E.)</t>
  </si>
  <si>
    <t>Quel le code ID du principal répondant, pour cette entreprise?</t>
  </si>
  <si>
    <t>Quel est le nom du principal propriétaire où nom de l'entreprise si cas échéant?</t>
  </si>
  <si>
    <t>Quel est le code ID du (des) propriétaire(s) de cette entreprise? (Donner au maximum 2 personnes)</t>
  </si>
  <si>
    <t>Veillez indiquer le principal bien et/ou service produit par cette entreprise.</t>
  </si>
  <si>
    <t>Code Branche (Remplir après l'interview)</t>
  </si>
  <si>
    <r>
      <t xml:space="preserve">Quel est le code ID de la (des) personne (s) qui gère(nt) cette entreprise?
 (Donner au maximum 2 personnes)
</t>
    </r>
    <r>
      <rPr>
        <i/>
        <sz val="9"/>
        <rFont val="Arial Narrow"/>
        <family val="2"/>
      </rPr>
      <t>Si gérant non membre du ménage, mettre 98</t>
    </r>
  </si>
  <si>
    <t>Quel est le code ID de la (des) personne(s) qui gèrent les revenus de cette entreprise? (Donner au maximum 2 personnes)</t>
  </si>
  <si>
    <t>Depuis quand (date) cette entreprise fonctionne-t-elle?</t>
  </si>
  <si>
    <r>
      <t xml:space="preserve">Combien de personnes </t>
    </r>
    <r>
      <rPr>
        <b/>
        <sz val="9"/>
        <rFont val="Arial Narrow"/>
        <family val="2"/>
      </rPr>
      <t>non membres du ménage</t>
    </r>
    <r>
      <rPr>
        <sz val="9"/>
        <rFont val="Arial Narrow"/>
        <family val="2"/>
      </rPr>
      <t xml:space="preserve"> sont co-propriétaires de cette entreprise?</t>
    </r>
  </si>
  <si>
    <t>Quelle est la part des bénéfices qui revient au ménage?</t>
  </si>
  <si>
    <t>Dans quel type de local l'activité s'exerce-t-elle?</t>
  </si>
  <si>
    <t>Le ménage est-il propriétaire ou locataire du local?</t>
  </si>
  <si>
    <t>Quelle est la valeur actuelle des locaux professionnels de cette entreprise?</t>
  </si>
  <si>
    <t>Cette entreprise a-t-elle de l'électricité?</t>
  </si>
  <si>
    <t>Cette entreprise  a-t-elle de l'eau courante?</t>
  </si>
  <si>
    <t>Cette entreprise ou son gestionnaire a-t-elle un téléphone?</t>
  </si>
  <si>
    <t>Est-ce que cette entreprise tient une comptabilité écrite?</t>
  </si>
  <si>
    <r>
      <t xml:space="preserve">Cette entreprise dispose-t-elle d'un numéro d'identification fiscal </t>
    </r>
    <r>
      <rPr>
        <sz val="9"/>
        <color indexed="10"/>
        <rFont val="Arial Narrow"/>
        <family val="2"/>
      </rPr>
      <t>(NIF)</t>
    </r>
    <r>
      <rPr>
        <sz val="9"/>
        <rFont val="Arial Narrow"/>
        <family val="2"/>
      </rPr>
      <t>?</t>
    </r>
  </si>
  <si>
    <r>
      <t xml:space="preserve">Cette entreprise est-elle enregistrée au Registre de Commerce </t>
    </r>
    <r>
      <rPr>
        <sz val="9"/>
        <color indexed="10"/>
        <rFont val="Arial Narrow"/>
        <family val="2"/>
      </rPr>
      <t>(RC)</t>
    </r>
    <r>
      <rPr>
        <sz val="9"/>
        <rFont val="Arial Narrow"/>
        <family val="2"/>
      </rPr>
      <t>?</t>
    </r>
  </si>
  <si>
    <r>
      <t xml:space="preserve">Les personnes qui travaillent dans cette entreprise sont-elles enregistrées à la </t>
    </r>
    <r>
      <rPr>
        <sz val="9"/>
        <color indexed="10"/>
        <rFont val="Arial Narrow"/>
        <family val="2"/>
      </rPr>
      <t>CNPS</t>
    </r>
    <r>
      <rPr>
        <sz val="9"/>
        <rFont val="Arial Narrow"/>
        <family val="2"/>
      </rPr>
      <t>?</t>
    </r>
  </si>
  <si>
    <t>Quelle est la forme juridique de cette entreprise?</t>
  </si>
  <si>
    <t>Quelle est la principale source de financement qui vous a aidé à demarrer cette entreprise?</t>
  </si>
  <si>
    <t>Est-ce que cette entreprise possède des machines?</t>
  </si>
  <si>
    <t>Quelle est la valeur actuelle de ces machines?</t>
  </si>
  <si>
    <t>Est-ce que cette entreprise possède du matériel roulant (voitures, motos, etc.)?</t>
  </si>
  <si>
    <t>Quelle est la valeur actuelle de ce matériel roulant?</t>
  </si>
  <si>
    <t>Est-ce que cette entreprise possède du mobilier et équipement de bureau?</t>
  </si>
  <si>
    <t>Quelle est la valeur actuelle de ce mobilier et équipement de bureau?</t>
  </si>
  <si>
    <t>Est-ce que cette entreprise possède d'autres équipements (par exemple des marmites ou de la vaiselle pour un restaurant, des petits outils de menuisier, etc.)?</t>
  </si>
  <si>
    <t>Quelle est la valeur actuelle  de ces autres équipements?</t>
  </si>
  <si>
    <t>Auprès de qui cette entreprise achète t-elle principalement ses matières premières ou marchandises?</t>
  </si>
  <si>
    <t>A qui cette entreprise vend-elle principalement ses produits?</t>
  </si>
  <si>
    <t>Au cours des 12 derniers mois, l'entreprise rencontre-t-elle les problèmes suivants dans l'exercice de son activité?                                                                                                 
Mettre 1 pour Oui, 2 pour Non et 3 pour Non-concerné</t>
  </si>
  <si>
    <r>
      <t xml:space="preserve">Quel est le montant obtenus sur la revente de marchandises achetées et revendues en l'état </t>
    </r>
    <r>
      <rPr>
        <b/>
        <sz val="9"/>
        <rFont val="Arial Narrow"/>
        <family val="2"/>
      </rPr>
      <t>au cours des 30 derniers jours ou durant le dernier mois où l'entreprise a fonctionné</t>
    </r>
    <r>
      <rPr>
        <sz val="9"/>
        <rFont val="Arial Narrow"/>
        <family val="2"/>
      </rPr>
      <t>?</t>
    </r>
    <r>
      <rPr>
        <b/>
        <sz val="9"/>
        <rFont val="Arial Narrow"/>
        <family val="2"/>
      </rPr>
      <t xml:space="preserve">                               </t>
    </r>
  </si>
  <si>
    <r>
      <t xml:space="preserve">Combien avez-vous dépensé pour l'achat de ces marchandises revendues en l'état, sans transformation, </t>
    </r>
    <r>
      <rPr>
        <b/>
        <sz val="9"/>
        <rFont val="Arial Narrow"/>
        <family val="2"/>
      </rPr>
      <t>au cours des 30 derniers jours ou durant le dernier mois où l'entreprise a fonctionné</t>
    </r>
    <r>
      <rPr>
        <sz val="9"/>
        <rFont val="Arial Narrow"/>
        <family val="2"/>
      </rPr>
      <t xml:space="preserve">?               </t>
    </r>
  </si>
  <si>
    <r>
      <t xml:space="preserve">Quel est le montant obtenus sur la vente de produits transformés par l'entreprise </t>
    </r>
    <r>
      <rPr>
        <b/>
        <sz val="9"/>
        <rFont val="Arial Narrow"/>
        <family val="2"/>
      </rPr>
      <t>au cours des 30 derniers jours ou durant le dernier mois où l'entreprise a fonctionné</t>
    </r>
    <r>
      <rPr>
        <sz val="9"/>
        <rFont val="Arial Narrow"/>
        <family val="2"/>
      </rPr>
      <t xml:space="preserve">?            </t>
    </r>
  </si>
  <si>
    <r>
      <t xml:space="preserve">Combien avez-vous dépensé en achat de matières premières pour les produits vendus </t>
    </r>
    <r>
      <rPr>
        <b/>
        <sz val="9"/>
        <rFont val="Arial Narrow"/>
        <family val="2"/>
      </rPr>
      <t>au cours des 30 derniers jours</t>
    </r>
    <r>
      <rPr>
        <sz val="9"/>
        <rFont val="Arial Narrow"/>
        <family val="2"/>
      </rPr>
      <t xml:space="preserve"> </t>
    </r>
    <r>
      <rPr>
        <b/>
        <sz val="9"/>
        <rFont val="Arial Narrow"/>
        <family val="2"/>
      </rPr>
      <t>ou durant le dernier mois où l'entreprise a fonctionné</t>
    </r>
    <r>
      <rPr>
        <sz val="9"/>
        <rFont val="Arial Narrow"/>
        <family val="2"/>
      </rPr>
      <t xml:space="preserve">?                    </t>
    </r>
  </si>
  <si>
    <r>
      <t xml:space="preserve">Quel est le montant obtenus sur les services rendus par l'entreprise </t>
    </r>
    <r>
      <rPr>
        <b/>
        <sz val="9"/>
        <rFont val="Arial Narrow"/>
        <family val="2"/>
      </rPr>
      <t>au cours des 30 derniers jours ou durant le dernier mois où l'entreprise a fonctionné</t>
    </r>
    <r>
      <rPr>
        <sz val="9"/>
        <rFont val="Arial Narrow"/>
        <family val="2"/>
      </rPr>
      <t xml:space="preserve">?                     </t>
    </r>
  </si>
  <si>
    <r>
      <t xml:space="preserve">Combien avez-vous dépensé en autres consommations intermédiaires (téléphone, transport, fournitures, etc.) </t>
    </r>
    <r>
      <rPr>
        <b/>
        <sz val="9"/>
        <rFont val="Arial Narrow"/>
        <family val="2"/>
      </rPr>
      <t>au cours des 30 derniers jours ou durant le dernier mois où l'entreprise a fonctionné</t>
    </r>
    <r>
      <rPr>
        <sz val="9"/>
        <rFont val="Arial Narrow"/>
        <family val="2"/>
      </rPr>
      <t xml:space="preserve">?  </t>
    </r>
  </si>
  <si>
    <r>
      <t xml:space="preserve">Combien avez-vous dépensé en frais de loyer, eau et électricité </t>
    </r>
    <r>
      <rPr>
        <b/>
        <sz val="9"/>
        <rFont val="Arial Narrow"/>
        <family val="2"/>
      </rPr>
      <t>au cours des 30 derniers jours ou durant le dernier mois où l'entreprise a fonctionné</t>
    </r>
    <r>
      <rPr>
        <sz val="9"/>
        <rFont val="Arial Narrow"/>
        <family val="2"/>
      </rPr>
      <t xml:space="preserve">? </t>
    </r>
  </si>
  <si>
    <r>
      <t xml:space="preserve">Combien avez-vous dépensé en frais de services pour utiliser ou louer des équipements </t>
    </r>
    <r>
      <rPr>
        <b/>
        <sz val="9"/>
        <rFont val="Arial Narrow"/>
        <family val="2"/>
      </rPr>
      <t>au cours des 30 derniers jours ou durant le dernier mois où l'entreprise a fonctionné</t>
    </r>
    <r>
      <rPr>
        <sz val="9"/>
        <rFont val="Arial Narrow"/>
        <family val="2"/>
      </rPr>
      <t xml:space="preserve">? </t>
    </r>
  </si>
  <si>
    <r>
      <t xml:space="preserve">Combien avez-vous dépensé en autres frais et services </t>
    </r>
    <r>
      <rPr>
        <b/>
        <sz val="9"/>
        <rFont val="Arial Narrow"/>
        <family val="2"/>
      </rPr>
      <t>au cours des 30 derniers jours ou durant le dernier mois où l'entreprise a fonctionné</t>
    </r>
    <r>
      <rPr>
        <sz val="9"/>
        <rFont val="Arial Narrow"/>
        <family val="2"/>
      </rPr>
      <t>?  (réparation d'équipement, etc.)</t>
    </r>
  </si>
  <si>
    <r>
      <t xml:space="preserve">Quel est le montant de la patente payée par l'entreprise </t>
    </r>
    <r>
      <rPr>
        <b/>
        <sz val="9"/>
        <rFont val="Arial Narrow"/>
        <family val="2"/>
      </rPr>
      <t>au cours des 12 derniers mois</t>
    </r>
    <r>
      <rPr>
        <sz val="9"/>
        <rFont val="Arial Narrow"/>
        <family val="2"/>
      </rPr>
      <t xml:space="preserve"> ? </t>
    </r>
  </si>
  <si>
    <r>
      <t xml:space="preserve">Quel est le montant des autres impôts et taxes payés par l'entreprise </t>
    </r>
    <r>
      <rPr>
        <b/>
        <sz val="9"/>
        <rFont val="Arial Narrow"/>
        <family val="2"/>
      </rPr>
      <t xml:space="preserve">au cours des 12 derniers mois </t>
    </r>
    <r>
      <rPr>
        <sz val="9"/>
        <rFont val="Arial Narrow"/>
        <family val="2"/>
      </rPr>
      <t xml:space="preserve">? </t>
    </r>
  </si>
  <si>
    <r>
      <t xml:space="preserve">Quel est le montant des frais administratifs non règlementaires payés par l'entreprise </t>
    </r>
    <r>
      <rPr>
        <b/>
        <sz val="9"/>
        <rFont val="Arial Narrow"/>
        <family val="2"/>
      </rPr>
      <t xml:space="preserve">au cours des 12 derniers mois </t>
    </r>
    <r>
      <rPr>
        <sz val="9"/>
        <rFont val="Arial Narrow"/>
        <family val="2"/>
      </rPr>
      <t xml:space="preserve">? </t>
    </r>
  </si>
  <si>
    <t>Quelle est l'assistance la plus importante qu'à bénéficié l'entreprise de la part du gouvernement pour faire face à ses charges pendant la crise de la COVID-19?</t>
  </si>
  <si>
    <t>L'assistance reçu par cette entreprise continue t-elle toujours?</t>
  </si>
  <si>
    <t xml:space="preserve">Cette entreprise est-elle actuellement en activité?          </t>
  </si>
  <si>
    <t xml:space="preserve">Pendant combien de mois l'entreprise a-t-elle été en activité au cours des 12 derniers mois? </t>
  </si>
  <si>
    <t>Pourquoi l'entreprise n'a-t-elle pas fonctionné tout le temps au cours des 12 derniers mois?</t>
  </si>
  <si>
    <t>Main-d’œuvre familiale ayant travaillé dans cette entreprise au cours des 12 derniers mois.</t>
  </si>
  <si>
    <t>Main-d’œuvre salariée ayant travaillé dans cette entreprise au cours des 30 derniers jours ou du dernier mois où l'entreprise a fonctionné</t>
  </si>
  <si>
    <t xml:space="preserve">La gestion de la main d'oeuvre a t-elle été affectée par la COVID-19 ?
1 Oui
2 Non  ► Entreprise suivante </t>
  </si>
  <si>
    <t>Qu'est ce qui a changé dans la gestion de la main d'oeuvre?
1 Augmenté 2 Dimuné 3 Inchangé 4 NC</t>
  </si>
  <si>
    <t>Pour chaque membre du ménage ayant travaillé dans l'entreprise, fournir les renseignements</t>
  </si>
  <si>
    <t>ci-dessous, en commençant par le chef de l'entreprise</t>
  </si>
  <si>
    <t>A. Code ID (numéro d'ordre) de la personne</t>
  </si>
  <si>
    <t>A. Nombre de personnes de la catégorie ayant travaillé dans l'entreprise au cours de cette période</t>
  </si>
  <si>
    <t>Nombre de personnes du ménage qui travaillent pour l'entreprise</t>
  </si>
  <si>
    <t>Nombre de personnes extérieures qui travaillent dans le ménages</t>
  </si>
  <si>
    <t>Temps de travail des personnes qui travaillent pour l'entreprise</t>
  </si>
  <si>
    <t>Salaire des personnes qui travaillent pour l'entreprise</t>
  </si>
  <si>
    <t>1. Fonds propre</t>
  </si>
  <si>
    <t>Difficultés d'approvisionnement en matières premières</t>
  </si>
  <si>
    <t>Difficultés d'approvisionnement en matières premières à cause de la COVID-19</t>
  </si>
  <si>
    <t>Manque de clientèle à cause de la COVID-19</t>
  </si>
  <si>
    <t>Trop de concurrence</t>
  </si>
  <si>
    <t>Difficultés d'accès au crédit</t>
  </si>
  <si>
    <t>Difficultés de Recrutement de personnel qualifié</t>
  </si>
  <si>
    <t>Manque de place, de local adapté</t>
  </si>
  <si>
    <t>Difficultés d'accès aux équipements</t>
  </si>
  <si>
    <t>Difficultés techniques de fabrication</t>
  </si>
  <si>
    <t>Difficultés techniques de gestion</t>
  </si>
  <si>
    <t>Augmentation des frais de fonctionnement pour respecter les mesures barrières contre la COVID-19 (achat de savon, gel, masque)</t>
  </si>
  <si>
    <t>Problèmes d'accès à l'électricité</t>
  </si>
  <si>
    <t>Problèmes de coupures d'électricité</t>
  </si>
  <si>
    <t>Problèmes liés à une autre infrastructure (eau, téléphone)</t>
  </si>
  <si>
    <t>Problèmes liés à l'internet</t>
  </si>
  <si>
    <t>Problèmes liés à l'insécurité</t>
  </si>
  <si>
    <t>Limite des heures d'opérations par les autorités à cause de la COVID-19</t>
  </si>
  <si>
    <t>Trop de règlementation, impôts et taxes</t>
  </si>
  <si>
    <t>1. Faillite
2. Activité saisonnière
3 Manque de clients
4. Manque main-d'oeuvre
5. Manque matières 1ères/Problèmes techniques
6. Problèmes d'approvisionnement à cause de la COVID-19
7. Créée au cours de l'année
8 Fermée pour non paiement d'impôts
9 Fermée momentanément à cause de la COVID-19
10. Problèmes de Santé
11. Insécurité, délinquance, banditisme
12. Instabilité politique
13. Autres</t>
  </si>
  <si>
    <t>1. Moins de 25%</t>
  </si>
  <si>
    <t xml:space="preserve">1 Bureau, atelier, magasin, boutique, garage </t>
  </si>
  <si>
    <t>2. Aide d'un Parent au pays</t>
  </si>
  <si>
    <t>B. Nombre de mois au cours des 12 derniers mois où la personne a travaillé dans l'entreprise</t>
  </si>
  <si>
    <t>B. Nombre de jours où une personne de la catégorie a travaillé dans l'entreprise au cours de cette période</t>
  </si>
  <si>
    <t>2. Entre 25 &amp; 50%</t>
  </si>
  <si>
    <t>3. Aide d'un Parent de l'étranger</t>
  </si>
  <si>
    <t xml:space="preserve"> </t>
  </si>
  <si>
    <r>
      <t>1</t>
    </r>
    <r>
      <rPr>
        <sz val="8"/>
        <rFont val="Arial Narrow"/>
        <family val="2"/>
      </rPr>
      <t xml:space="preserve">. Secteur public </t>
    </r>
  </si>
  <si>
    <t>3. Entre 50 &amp; 75%</t>
  </si>
  <si>
    <t>1. Entreprise individuelle</t>
  </si>
  <si>
    <t>4. Prêt d'un autre ménage</t>
  </si>
  <si>
    <r>
      <t xml:space="preserve">2. </t>
    </r>
    <r>
      <rPr>
        <sz val="8"/>
        <rFont val="Arial Narrow"/>
        <family val="2"/>
      </rPr>
      <t>Grande ent. privée commerce</t>
    </r>
  </si>
  <si>
    <t>C. Nombre de jours par mois que la personne a consacré à l'entreprise</t>
  </si>
  <si>
    <t>C. Nombre d'heures par jour où une personne de la catégorie a travaillé dans l'entreprise au cours de cette période</t>
  </si>
  <si>
    <t>4. Plus de 75%</t>
  </si>
  <si>
    <t>1 Propriétaire</t>
  </si>
  <si>
    <t>5. Prêt d'une tontine</t>
  </si>
  <si>
    <r>
      <t>3</t>
    </r>
    <r>
      <rPr>
        <sz val="8"/>
        <rFont val="Arial Narrow"/>
        <family val="2"/>
      </rPr>
      <t>. Petite ent. commerciale</t>
    </r>
  </si>
  <si>
    <t>1 Annulation des charges</t>
  </si>
  <si>
    <t>Si la personne qui gère les revenus est non membre du ménage, mettre 98</t>
  </si>
  <si>
    <t>1. Oui, transmise à la DGI</t>
  </si>
  <si>
    <t>2. Coopératives / Groupements d'Intérêts Economiques</t>
  </si>
  <si>
    <t>6. Prêt bancaire ou IMF</t>
  </si>
  <si>
    <r>
      <t>4</t>
    </r>
    <r>
      <rPr>
        <sz val="8"/>
        <rFont val="Arial Narrow"/>
        <family val="2"/>
      </rPr>
      <t>. Gande ent. privée non commerciale</t>
    </r>
  </si>
  <si>
    <t>2 Dimunition des charges</t>
  </si>
  <si>
    <t>D. Nombre d'heures par jour que la personne a consacré à l'entreprise</t>
  </si>
  <si>
    <t>D. Salaire versé à une personne de la catégorie qui a travaillé dans l'entreprise au cours de cette période (en FCFA)</t>
  </si>
  <si>
    <t>7. Prêt/Appui d'une coopérative</t>
  </si>
  <si>
    <t>3. NC</t>
  </si>
  <si>
    <t>8. Prêt/Appui d'une ONG</t>
  </si>
  <si>
    <r>
      <t>5</t>
    </r>
    <r>
      <rPr>
        <sz val="8"/>
        <rFont val="Arial Narrow"/>
        <family val="2"/>
      </rPr>
      <t>. Petite ent. non commerciale</t>
    </r>
  </si>
  <si>
    <t>3 Report de charges</t>
  </si>
  <si>
    <t>2. Oui, non transmise à la DGI</t>
  </si>
  <si>
    <r>
      <t>6</t>
    </r>
    <r>
      <rPr>
        <sz val="8"/>
        <rFont val="Arial Narrow"/>
        <family val="2"/>
      </rPr>
      <t>. Ménage/Particulier</t>
    </r>
  </si>
  <si>
    <t>4 Autre type d'assistance (préciser)</t>
  </si>
  <si>
    <r>
      <rPr>
        <b/>
        <sz val="8"/>
        <rFont val="Arial Narrow"/>
        <family val="2"/>
      </rPr>
      <t>7.</t>
    </r>
    <r>
      <rPr>
        <sz val="8"/>
        <rFont val="Arial Narrow"/>
        <family val="2"/>
      </rPr>
      <t xml:space="preserve"> Importations directes</t>
    </r>
  </si>
  <si>
    <r>
      <rPr>
        <b/>
        <sz val="8"/>
        <rFont val="Arial Narrow"/>
        <family val="2"/>
      </rPr>
      <t>7.</t>
    </r>
    <r>
      <rPr>
        <sz val="8"/>
        <rFont val="Arial Narrow"/>
        <family val="2"/>
      </rPr>
      <t xml:space="preserve"> Exportations directes</t>
    </r>
  </si>
  <si>
    <t>3. Autres à préciser</t>
  </si>
  <si>
    <r>
      <rPr>
        <b/>
        <sz val="8"/>
        <rFont val="Arial Narrow"/>
        <family val="2"/>
      </rPr>
      <t>8.</t>
    </r>
    <r>
      <rPr>
        <sz val="8"/>
        <rFont val="Arial Narrow"/>
        <family val="2"/>
      </rPr>
      <t xml:space="preserve"> Ramassage/ Cueillette</t>
    </r>
  </si>
  <si>
    <t xml:space="preserve"> (INSCRIRE ZERO EN CAS DE DEPENSE NULLE)</t>
  </si>
  <si>
    <t>3. Non, pas de comptabilité</t>
  </si>
  <si>
    <r>
      <rPr>
        <b/>
        <sz val="8"/>
        <rFont val="Arial Narrow"/>
        <family val="2"/>
      </rPr>
      <t>9.</t>
    </r>
    <r>
      <rPr>
        <sz val="8"/>
        <rFont val="Arial Narrow"/>
        <family val="2"/>
      </rPr>
      <t xml:space="preserve"> Non-concerné</t>
    </r>
  </si>
  <si>
    <t>Adultes (15 ans et plus)</t>
  </si>
  <si>
    <t>Enfants (moins de 15 ans)</t>
  </si>
  <si>
    <t>Prop. 1</t>
  </si>
  <si>
    <t>Prop. 2</t>
  </si>
  <si>
    <t>CODE BRANCHE</t>
  </si>
  <si>
    <t>Gérant 1</t>
  </si>
  <si>
    <t>Gérant 2</t>
  </si>
  <si>
    <t>Gest. 1</t>
  </si>
  <si>
    <t>Gest. 2</t>
  </si>
  <si>
    <t>NOMBRE DE MOIS</t>
  </si>
  <si>
    <t>Personne 1</t>
  </si>
  <si>
    <t>Personne 2</t>
  </si>
  <si>
    <t>Personne 3</t>
  </si>
  <si>
    <t>Personne 4</t>
  </si>
  <si>
    <t>Hommes</t>
  </si>
  <si>
    <t>Femmes</t>
  </si>
  <si>
    <t>Garçons</t>
  </si>
  <si>
    <t>Filles</t>
  </si>
  <si>
    <t>NOM</t>
  </si>
  <si>
    <t>Produit/Service fabriqué</t>
  </si>
  <si>
    <t>Jours</t>
  </si>
  <si>
    <t>SECTION 11 : CARACTERISTIQUES DU LOGEMENT</t>
  </si>
  <si>
    <t>Type de logement actuel ?</t>
  </si>
  <si>
    <r>
      <t xml:space="preserve">Qui est ce tiers non membre du ménage qui paie partiellement ou totalement le loyer? </t>
    </r>
    <r>
      <rPr>
        <b/>
        <sz val="9"/>
        <rFont val="Arial Narrow"/>
        <family val="2"/>
      </rPr>
      <t>(Indiquez le plus important)</t>
    </r>
  </si>
  <si>
    <t xml:space="preserve"> Durant les 12 derniers mois, est-ce que le ménage </t>
  </si>
  <si>
    <t>a payé des remboursements du crédit sur ce logement ?</t>
  </si>
  <si>
    <t xml:space="preserve">INS: Choisir 7 modalités </t>
  </si>
  <si>
    <t>Parent</t>
  </si>
  <si>
    <t xml:space="preserve">correspondant au type de </t>
  </si>
  <si>
    <t>Autre (à préciser)</t>
  </si>
  <si>
    <t>Ami ou autre personne</t>
  </si>
  <si>
    <t>Quel est le montant mensuel de ces traites ? (FCFA)</t>
  </si>
  <si>
    <t xml:space="preserve">logements et arranger du </t>
  </si>
  <si>
    <t>Employeur privé</t>
  </si>
  <si>
    <t>Entreprise publique</t>
  </si>
  <si>
    <t>plus moderne au moins moderne</t>
  </si>
  <si>
    <t>Gouvernement</t>
  </si>
  <si>
    <t>Quel est le montant mensuel du loyer, y compris les avantages liés au logement (eau, électricité, téléphone etc.) payé par ce (s) tiers? (FCFA)</t>
  </si>
  <si>
    <t>Combien de pièces le ménage occupe-t-il ?</t>
  </si>
  <si>
    <t>(NE PAS INCLURE CUISINES, SALLES DE BAINS, CORRIDORS, BALCONS)</t>
  </si>
  <si>
    <t>Le ménage possède t-il une entreprise dont le local se trouve dans le logement?</t>
  </si>
  <si>
    <t>Le logement dispose-t-il des équipements suivants?</t>
  </si>
  <si>
    <t>►►</t>
  </si>
  <si>
    <t>1 Oui                      2 Non</t>
  </si>
  <si>
    <r>
      <t xml:space="preserve">Quels sont les membres du ménage qui figurent sur le titre/acte de propriété? </t>
    </r>
    <r>
      <rPr>
        <b/>
        <sz val="9"/>
        <rFont val="Arial Narrow"/>
        <family val="2"/>
      </rPr>
      <t>Mettre 98 si aucun membre du ménage n'est sur le titre de propriété</t>
    </r>
  </si>
  <si>
    <t>Climatiseurs/Splits faisant partie du logement</t>
  </si>
  <si>
    <t xml:space="preserve">Quel est le principal matériau de construction </t>
  </si>
  <si>
    <t>Chauffe-eau (pour eau chaude)</t>
  </si>
  <si>
    <t>des murs extérieurs ?</t>
  </si>
  <si>
    <t>Ventilateurs incrustés au plafond</t>
  </si>
  <si>
    <t>code ID de la personne</t>
  </si>
  <si>
    <t>Ciment/Béton/Pierres de taille</t>
  </si>
  <si>
    <t>Quel est actuellement votre statut d'occupation ?</t>
  </si>
  <si>
    <t>Briques cuites</t>
  </si>
  <si>
    <t>6 Pierres simples (Traditionnelles)</t>
  </si>
  <si>
    <t>Est ce qu'une personne non-membre du ménage est listée sur le titre/acte de propriété?</t>
  </si>
  <si>
    <t>Bac alu, vitres, etc</t>
  </si>
  <si>
    <t>7  Paille, Banco, motte de terre</t>
  </si>
  <si>
    <t xml:space="preserve">Propriétaire avec titre ou acte de propriété </t>
  </si>
  <si>
    <t>Banco amélioré/ semi-dur</t>
  </si>
  <si>
    <t>8  Autre (à préciser)</t>
  </si>
  <si>
    <t xml:space="preserve">Propriétaire sans titre ou acte de propriété </t>
  </si>
  <si>
    <t>Matériaux de récupération (planches, toles,…)</t>
  </si>
  <si>
    <t xml:space="preserve">Copropriétaire avec titre ou acte </t>
  </si>
  <si>
    <t>Quel est le principal matériau du toit?</t>
  </si>
  <si>
    <t xml:space="preserve">Copropriétaire sans titre ni acte </t>
  </si>
  <si>
    <t>Qui est cette personne non-membre du ménage qui figure sur le titre de propriété?</t>
  </si>
  <si>
    <t>Dalle en ciment</t>
  </si>
  <si>
    <t>Nattes</t>
  </si>
  <si>
    <t>Locataire ►</t>
  </si>
  <si>
    <t>Tuile</t>
  </si>
  <si>
    <t xml:space="preserve">Logé par l'employeur </t>
  </si>
  <si>
    <t>1 Parent</t>
  </si>
  <si>
    <t>Tôles</t>
  </si>
  <si>
    <t xml:space="preserve">Logé gratuitement (parents, amis) </t>
  </si>
  <si>
    <t>2 Ami ou autre personne</t>
  </si>
  <si>
    <t>Paille</t>
  </si>
  <si>
    <t xml:space="preserve">Autre (à préciser) </t>
  </si>
  <si>
    <t>Banco</t>
  </si>
  <si>
    <t>Quel est est le montant (FCFA) payé pour un logement comme le votre dans ce village/quartier?</t>
  </si>
  <si>
    <t>Chaume</t>
  </si>
  <si>
    <t>Pour quelle raison principale le ménage ne possède pas un titre ou  un certificat de propriété?</t>
  </si>
  <si>
    <t>Quel est le principal matériau de revêtement du sol du logement?</t>
  </si>
  <si>
    <t>Pas exigé par la loi</t>
  </si>
  <si>
    <t>Carreaux/Marbre</t>
  </si>
  <si>
    <t>Les frais d'établissement sont trop chers</t>
  </si>
  <si>
    <t>Ciment/Béton</t>
  </si>
  <si>
    <t>Bureau d'enregistrement trop loin</t>
  </si>
  <si>
    <t>Terre battue/Sable</t>
  </si>
  <si>
    <t>Processus en cours</t>
  </si>
  <si>
    <t>Bouse d'animaux</t>
  </si>
  <si>
    <t>Quel est le montant mensuel du loyer? (FCFA)</t>
  </si>
  <si>
    <t>Procédure trop longue</t>
  </si>
  <si>
    <t xml:space="preserve">Le ménage est-il connecté à un réseau d'eau courante? </t>
  </si>
  <si>
    <t>Quel document atteste de vos droits de propriété?</t>
  </si>
  <si>
    <t>Facture de vente</t>
  </si>
  <si>
    <t xml:space="preserve"> Pour les ménages logés par l'employeur ou autre, est-ce que le service d'eau courante est  compris dans le loyer?</t>
  </si>
  <si>
    <t>Est-ce que le loyer est payé partiellement ou totalement par  un tiers non membre du ménage?</t>
  </si>
  <si>
    <t>Facture des impôts</t>
  </si>
  <si>
    <t>Documents relatifs à l'héritage</t>
  </si>
  <si>
    <t>Autre a préciser</t>
  </si>
  <si>
    <t>►</t>
  </si>
  <si>
    <t>Aucun document</t>
  </si>
  <si>
    <t>Ménage non logé</t>
  </si>
  <si>
    <t>Quel est le montant de la dernière facture d'eau? (En FCFA)</t>
  </si>
  <si>
    <t>Etes-vous satisfait de cette eau de boisson?</t>
  </si>
  <si>
    <t xml:space="preserve">Le ménage est-il connecté à un réseau électrique? </t>
  </si>
  <si>
    <t>1  Oui, ménage connecté au réseau</t>
  </si>
  <si>
    <t>2  Oui, ménage connecté chez le voisin</t>
  </si>
  <si>
    <t>Quelle est la distance (en mètres) qui sépare le ménage de la principale source d'approvisionnement en eau de boisson pendant la saison sèche?</t>
  </si>
  <si>
    <t>Périodicité de la dernière facture</t>
  </si>
  <si>
    <t>1 Hebdomadaire</t>
  </si>
  <si>
    <t xml:space="preserve"> Pour les ménages logés par l'employeur ou autre, est-ce que le service d'électricité est compris dans le loyer?</t>
  </si>
  <si>
    <t>2 Mensuel</t>
  </si>
  <si>
    <t>3 Tous les 2 mois</t>
  </si>
  <si>
    <t>4 Trimestriel</t>
  </si>
  <si>
    <t>Quelle est le temps mis (en minutes) pour se rendre à la principale source d'approvisionnement en eau de boisson pendant la saison sèche?</t>
  </si>
  <si>
    <t>Est-ce que le ménage achète de l'eau auprès des vendeurs ou auprès d'un autre ménage?</t>
  </si>
  <si>
    <t>Quel type d'abonnement le ménage dispose-t-il?</t>
  </si>
  <si>
    <t>Compteur classique</t>
  </si>
  <si>
    <t>4 Additionneuse/
Décompteur</t>
  </si>
  <si>
    <t>Temps mis à l'aller</t>
  </si>
  <si>
    <t>Minutes</t>
  </si>
  <si>
    <t>Compteur avec carte prépayée</t>
  </si>
  <si>
    <t>5 Sans Compteur</t>
  </si>
  <si>
    <t>Quel est le montant de ces dépenses au cours des 30 derniers jours? (En FCFA)</t>
  </si>
  <si>
    <t>Temps mis pour s'approvisionner une fois à la source</t>
  </si>
  <si>
    <t>Les deux</t>
  </si>
  <si>
    <t>Heures/Minutes</t>
  </si>
  <si>
    <t>Quel est le montant de la dernière facture d'électricité ?</t>
  </si>
  <si>
    <t>Quelle est la distance (en mètres) qui sépare le ménage de la principale source d'approvisionnement en eau de boisson pendant la saison des pluies?</t>
  </si>
  <si>
    <t>Quelle est la principale source d'approvisionnement en eau de boisson du ménage?</t>
  </si>
  <si>
    <t>EAU DU ROBINET</t>
  </si>
  <si>
    <t>Dans le logement</t>
  </si>
  <si>
    <t>Quel est le temps mis (en minutes) pour se rendre à la source d'approvisionnement en eau de boisson pendant la saison des pluies?</t>
  </si>
  <si>
    <t>Dans la cour/Concession</t>
  </si>
  <si>
    <t>Saison sèche</t>
  </si>
  <si>
    <t>Quelle est la principale source d'éclairage du logement?</t>
  </si>
  <si>
    <t>Robinet du voisin</t>
  </si>
  <si>
    <t>Electricité réseau</t>
  </si>
  <si>
    <t>Borne fontaine/Robinet public</t>
  </si>
  <si>
    <t>PUITS OUVERT</t>
  </si>
  <si>
    <t>Puits ouvert dans la cour/Concession</t>
  </si>
  <si>
    <t>Puits ouvert ailleurs</t>
  </si>
  <si>
    <t>PUITS COUVERT OU FORAGE</t>
  </si>
  <si>
    <t>Faites-vous quelque chose pour rendre plus saine l'eau de boisson?</t>
  </si>
  <si>
    <t>Puits couvert dans la cour/Concession</t>
  </si>
  <si>
    <t>Puits couvert ailleurs</t>
  </si>
  <si>
    <t>Au cours des 7 derniers jours y-a-t-il eu au moins une coupure de courant électrique dans votre logement?</t>
  </si>
  <si>
    <t>Forage dans la concession</t>
  </si>
  <si>
    <t>Forage ailleurs</t>
  </si>
  <si>
    <t>Habituellement, que faites-vous pour rendre plus saine l'eau de boisson?</t>
  </si>
  <si>
    <t>EAU DE SURFACE</t>
  </si>
  <si>
    <t>Saison des pluies</t>
  </si>
  <si>
    <t>Source aménagée</t>
  </si>
  <si>
    <t>(Répondre à chaque question par Oui ou Non)</t>
  </si>
  <si>
    <t>1 Oui   2 Non</t>
  </si>
  <si>
    <t>Pendant combien de jours avez-vous subi au moins une interruption de courant au cours des 7 derniers jours?</t>
  </si>
  <si>
    <t>Source non aménagée</t>
  </si>
  <si>
    <t>La faire bouillir</t>
  </si>
  <si>
    <t>Fleuve/Rivière/Lac/Barrage</t>
  </si>
  <si>
    <t>Y ajouter de l'eau de Javel/chlore, comprimé</t>
  </si>
  <si>
    <t xml:space="preserve">Nombre de jours </t>
  </si>
  <si>
    <t>AUTRES SOURCES</t>
  </si>
  <si>
    <t>La filtrer à travers un linge</t>
  </si>
  <si>
    <t>Eau en bouteille</t>
  </si>
  <si>
    <t>Utiliser un filtre (céramique, sable</t>
  </si>
  <si>
    <t>Quel est le nombre moyen de coupures enregistrées par jour?</t>
  </si>
  <si>
    <t>Eau de pluie</t>
  </si>
  <si>
    <t>composite, etc.)</t>
  </si>
  <si>
    <t>Eau en sachet</t>
  </si>
  <si>
    <t>Désinfection solaire</t>
  </si>
  <si>
    <t>Vendeur ambulant</t>
  </si>
  <si>
    <t>La laisser reposer</t>
  </si>
  <si>
    <t>Nombre de coupures</t>
  </si>
  <si>
    <t>Quelle est la durée moyenne d'une coupure?</t>
  </si>
  <si>
    <t>Quel est le type de connexion internet utilisé par le ménage?</t>
  </si>
  <si>
    <t>Quel type de sanitaire votre ménage utilise-t-il?</t>
  </si>
  <si>
    <t>Moins de 15 minutes</t>
  </si>
  <si>
    <t>Réseau téléphonique commuté (modem)</t>
  </si>
  <si>
    <t>1.W.C. int. avec chasse d'eau</t>
  </si>
  <si>
    <t>De 15 minutes à moins de 30 minutes</t>
  </si>
  <si>
    <t>ADSL</t>
  </si>
  <si>
    <t>2.W.C. ext. avec chasse d'eau</t>
  </si>
  <si>
    <t>8. Latrines dallées simplement</t>
  </si>
  <si>
    <t>De 30 minutes à moins d'une heure</t>
  </si>
  <si>
    <t>Fibre optique (Haut débit)</t>
  </si>
  <si>
    <t>3.W.C. int. chasse d'eau manuelle</t>
  </si>
  <si>
    <t>9. Fosse rudimentaire/trou ouvert</t>
  </si>
  <si>
    <t xml:space="preserve">D'une heure à moins de 3 heures </t>
  </si>
  <si>
    <t xml:space="preserve">Satellite </t>
  </si>
  <si>
    <t>4.W.C. ext. chasse d'eau manuelle</t>
  </si>
  <si>
    <t>Plus de 3 heures</t>
  </si>
  <si>
    <t>Accès Mobile (clé internet, Wi-FI, etc.)</t>
  </si>
  <si>
    <t>5.Latrines VIP (dallées, ventillées)</t>
  </si>
  <si>
    <t>Le ménage est-il connecté à un réseau de téléphonie fixe?</t>
  </si>
  <si>
    <t>Le ménage utilise t-il une chaine de television par cable, satelitte, TNT?</t>
  </si>
  <si>
    <t>6.Latrines ECOSAN (dallées, couvertes)</t>
  </si>
  <si>
    <t>7.Latrines SANPLAT (dallées, non couvertes)</t>
  </si>
  <si>
    <t>12. Autre (à préciser)</t>
  </si>
  <si>
    <t>Le ménage partage-t-il ces sanitaires avec d'autres ménages?</t>
  </si>
  <si>
    <t>Pour les ménages logés, est-ce que le service de téléphonie fixe est compris dans le loyer?</t>
  </si>
  <si>
    <t>Pour les ménages logés (employeur ou autre), est-ce que l'abonnement à la télé par câble/satellite est compris dans le loyer?</t>
  </si>
  <si>
    <t>Combien d'autres ménages utilisent ces sanitaires?</t>
  </si>
  <si>
    <t>Nombre:</t>
  </si>
  <si>
    <t>3 Ménage non logé</t>
  </si>
  <si>
    <t>Quel est le montant de la dernière facture de téléphone fixe ou de la dernière carte prépayée? (FCFA)</t>
  </si>
  <si>
    <t>Quel est le montant de la facture du dernier mois? (En FCFA)</t>
  </si>
  <si>
    <t>2 Fosse septique</t>
  </si>
  <si>
    <t>7 Autre à ptéciser</t>
  </si>
  <si>
    <t>3 Fosse étanche</t>
  </si>
  <si>
    <t>4 Fosse simple</t>
  </si>
  <si>
    <t>5 Compost</t>
  </si>
  <si>
    <t>Camion vidangeur</t>
  </si>
  <si>
    <t>Vidange manuelle</t>
  </si>
  <si>
    <t>Transfert dans un trou</t>
  </si>
  <si>
    <t>Eau de pluie, cours d'eau</t>
  </si>
  <si>
    <t>Quels sont les deux principaux combustibles utilisés par</t>
  </si>
  <si>
    <t xml:space="preserve">Le ménage est-il connecté à internet (y compris la clé et le téléphone)? </t>
  </si>
  <si>
    <t xml:space="preserve"> le ménage pour la cuisine ?</t>
  </si>
  <si>
    <t>Quel est le principal mode d'évacuation des eaux usées du ménage?</t>
  </si>
  <si>
    <t>Bois ramassé</t>
  </si>
  <si>
    <t>Bois acheté</t>
  </si>
  <si>
    <t>Puisard (fosse moderne)</t>
  </si>
  <si>
    <t>Pour les ménages logés par l'employeur ou autre, est-ce que le service d'internet  est compris dans le loyer?</t>
  </si>
  <si>
    <t>Charbon de bois</t>
  </si>
  <si>
    <t>Egout</t>
  </si>
  <si>
    <t>Gaz</t>
  </si>
  <si>
    <t>Trou dans la parcelle</t>
  </si>
  <si>
    <t>Electricité</t>
  </si>
  <si>
    <t>Dans la rue/nature</t>
  </si>
  <si>
    <t>Pétrole/Huile</t>
  </si>
  <si>
    <t>La dernière fois qu'un enfant de moins de 5 ans a passé des selles, qu'est ce qui a été fait pour éliminer les selles?</t>
  </si>
  <si>
    <t>Déchets d'animaux</t>
  </si>
  <si>
    <t>Quel est le montant de la dernière  facture ou combien avez-vous dépensé pour recharger votre clé Internet? (en FCFA)</t>
  </si>
  <si>
    <t xml:space="preserve">  1  Il a utilisé les toilettes/ latrines</t>
  </si>
  <si>
    <t>Comment votre ménage se débarrasse-t-il de ses ordures ménagères?</t>
  </si>
  <si>
    <t xml:space="preserve">  2 Les selles ont été mises ou jetées dans les toilettes/latrines</t>
  </si>
  <si>
    <t xml:space="preserve">  3 Les selles ont été mises/ jetées dans les égouts ou la fosse septique</t>
  </si>
  <si>
    <t>Dépotoir public</t>
  </si>
  <si>
    <t>Dépotoir sauvage</t>
  </si>
  <si>
    <t xml:space="preserve">  4 Les selles ont été jetées dans les ordures</t>
  </si>
  <si>
    <t xml:space="preserve">Ramassage </t>
  </si>
  <si>
    <t xml:space="preserve">  5 Les selles ont été enterrées</t>
  </si>
  <si>
    <t>Brûlées par le ménage</t>
  </si>
  <si>
    <t xml:space="preserve">  6 Les selles ont été mises/ jetées à l'air libre</t>
  </si>
  <si>
    <t>Enterrées par le ménage</t>
  </si>
  <si>
    <t xml:space="preserve">  7 Autre à préciser</t>
  </si>
  <si>
    <t xml:space="preserve">  8 Pas d'enfants de mois de 5 ans</t>
  </si>
  <si>
    <t>Pouvez-vous me montrer, s'il vous plait, où les membres du ménage se lavent les mains ?</t>
  </si>
  <si>
    <t>Observez la présence d’eau et/ou de savon,  de détergent ou d’autres produits nettoyants à l’endroit utilisé pour se laver les mains</t>
  </si>
  <si>
    <t>3.	A quel moment les membres du ménage se lavent, le plus souvent, les mains ?</t>
  </si>
  <si>
    <t>1 Observé, endroit fixe</t>
  </si>
  <si>
    <t>2 Observé, non fixe</t>
  </si>
  <si>
    <t>1 Eau, uniquement</t>
  </si>
  <si>
    <t xml:space="preserve">1  A la sortie des toilettes </t>
  </si>
  <si>
    <t>3 Non observé</t>
  </si>
  <si>
    <t>2 Savon ou détergent ou autre produit nettoyant 
 (en morceau, liquide, poudre, pâte), uniquement</t>
  </si>
  <si>
    <t xml:space="preserve">2  Avant de manger </t>
  </si>
  <si>
    <t xml:space="preserve">3  Avant de préparer les repas </t>
  </si>
  <si>
    <t xml:space="preserve">4  Avant de s’occuper des enfants </t>
  </si>
  <si>
    <t xml:space="preserve">5  Après avoir nettoyé les enfants  </t>
  </si>
  <si>
    <t>SECTION 12: ACTIFS DU MENAGE</t>
  </si>
  <si>
    <t>Ecrire le code ID du répondant à cette section</t>
  </si>
  <si>
    <t>ARTICLES</t>
  </si>
  <si>
    <t>CODE D'ARTICLE</t>
  </si>
  <si>
    <r>
      <t xml:space="preserve">Est-ce que le ménage ou un membre du ménage dispose/possède [ARTICLE] en bon état de fonctionnement? 
</t>
    </r>
    <r>
      <rPr>
        <sz val="8"/>
        <rFont val="Arial Narrow"/>
        <family val="2"/>
      </rPr>
      <t>1=Oui 
2=Non   ►ARTICLE SUIVANT</t>
    </r>
  </si>
  <si>
    <t>Quel est le nombre de [ARTICLE]?</t>
  </si>
  <si>
    <t xml:space="preserve">Est ce que le bien appartient à un membre du ménage en particulier? 
</t>
  </si>
  <si>
    <t xml:space="preserve">Quel est le CODE ID de la (des) personnes qui possèdent ces articles?
</t>
  </si>
  <si>
    <t>Quel était l'état à l'acquisition du dernier bien?
1=Neuf
2=Occasion</t>
  </si>
  <si>
    <r>
      <t xml:space="preserve">Depuis combien d'années êtes-vous en possession de [ARTICLE]?           </t>
    </r>
    <r>
      <rPr>
        <b/>
        <sz val="8"/>
        <rFont val="Arial Narrow"/>
        <family val="2"/>
      </rPr>
      <t>(SI PLUSIEURS, CONSIDERER L'ÂGE DU DERNIER)</t>
    </r>
  </si>
  <si>
    <r>
      <t xml:space="preserve">Quelle est la valeur d'acquisition de [ARTICLE]? 
</t>
    </r>
    <r>
      <rPr>
        <b/>
        <sz val="8"/>
        <rFont val="Arial Narrow"/>
        <family val="2"/>
      </rPr>
      <t>(SI PLUSIEURS, CONSIDERER LE DERNIER)</t>
    </r>
  </si>
  <si>
    <r>
      <t xml:space="preserve">Quelle est la valeur (ou prix de revente) actuelle de [ARTICLE]?
</t>
    </r>
    <r>
      <rPr>
        <b/>
        <sz val="8"/>
        <rFont val="Arial Narrow"/>
        <family val="2"/>
      </rPr>
      <t>(SI PLUSIEURS, CONSIDERER LE DERNIER)</t>
    </r>
  </si>
  <si>
    <t>Pers 1</t>
  </si>
  <si>
    <t>Pers 2</t>
  </si>
  <si>
    <t>Pers3</t>
  </si>
  <si>
    <t>LIBELLÉ</t>
  </si>
  <si>
    <t>Salon  (Fauteuils et table basse)</t>
  </si>
  <si>
    <t>Table à manger  (table + chaises)</t>
  </si>
  <si>
    <t xml:space="preserve">Lit </t>
  </si>
  <si>
    <t>Matelas simple</t>
  </si>
  <si>
    <t>Armoires et autres meubles</t>
  </si>
  <si>
    <t>Tapis</t>
  </si>
  <si>
    <t>Fer à repasser électrique</t>
  </si>
  <si>
    <t>Fer à repasser à charbon</t>
  </si>
  <si>
    <t>Cuisinière à gaz ou électrique</t>
  </si>
  <si>
    <t>Bonbonne de gaz</t>
  </si>
  <si>
    <t>Réchaud (plaque) à gaz ou électrique</t>
  </si>
  <si>
    <t>Four à micro-onde ou électrique</t>
  </si>
  <si>
    <t>Foyers améliorés</t>
  </si>
  <si>
    <t>Robot de cuisine électrique (Moulinex)</t>
  </si>
  <si>
    <t>Mixeur/Presse-fruits non électrique</t>
  </si>
  <si>
    <t>Réfrigérateur</t>
  </si>
  <si>
    <t>Congélateur</t>
  </si>
  <si>
    <t>Ventilateur sur pied</t>
  </si>
  <si>
    <t>Radio simple/Radiocassette</t>
  </si>
  <si>
    <t>Appareil TV</t>
  </si>
  <si>
    <t>Magnétoscope/CD/DVD</t>
  </si>
  <si>
    <r>
      <t>Antenne</t>
    </r>
    <r>
      <rPr>
        <b/>
        <sz val="9"/>
        <rFont val="Arial Narrow"/>
        <family val="2"/>
      </rPr>
      <t xml:space="preserve"> </t>
    </r>
    <r>
      <rPr>
        <sz val="9"/>
        <rFont val="Arial Narrow"/>
        <family val="2"/>
      </rPr>
      <t>parabolique / décodeur</t>
    </r>
  </si>
  <si>
    <t>Lave-linge, sèche linge</t>
  </si>
  <si>
    <t>Aspirateur</t>
  </si>
  <si>
    <t>Climatiseurs/splits</t>
  </si>
  <si>
    <t>Tondeuse à gazon et autre article de jardinage</t>
  </si>
  <si>
    <t>Groupe électrogène</t>
  </si>
  <si>
    <t>Voiture personnelle</t>
  </si>
  <si>
    <t>Cyclomoteur/Vélomoteur, motocyclette</t>
  </si>
  <si>
    <t>Bicyclette</t>
  </si>
  <si>
    <t>Appareil photo</t>
  </si>
  <si>
    <t>Camescope</t>
  </si>
  <si>
    <t>Chaîne Hi Fi</t>
  </si>
  <si>
    <t>Téléphone fixe</t>
  </si>
  <si>
    <t>Téléphone portable</t>
  </si>
  <si>
    <t>Tablette</t>
  </si>
  <si>
    <t>Ordinateur</t>
  </si>
  <si>
    <t>Imprimante/Fax</t>
  </si>
  <si>
    <t>Caméra Vidéo</t>
  </si>
  <si>
    <t>Pirogue et hors-bord (bateaux de plaisance)</t>
  </si>
  <si>
    <t>Fusils de chasse</t>
  </si>
  <si>
    <t>Guitare</t>
  </si>
  <si>
    <t>Piano et autre appareil de musique</t>
  </si>
  <si>
    <t>Immeuble/Maison</t>
  </si>
  <si>
    <t>Terrain non bâti</t>
  </si>
  <si>
    <t>SECTION 14A: COVID-19 ET IMPACT SUR LES MENAGES</t>
  </si>
  <si>
    <t>14A.01</t>
  </si>
  <si>
    <t>14A.02</t>
  </si>
  <si>
    <t>14A.03</t>
  </si>
  <si>
    <t>14A.04</t>
  </si>
  <si>
    <t>14A.05</t>
  </si>
  <si>
    <t>14A.06</t>
  </si>
  <si>
    <t>14A.07</t>
  </si>
  <si>
    <t>14A.08</t>
  </si>
  <si>
    <t>14A.09</t>
  </si>
  <si>
    <t xml:space="preserve">Depuis le début de la pandemie en mars 2020 </t>
  </si>
  <si>
    <t>Quel est son sexe?
1. Homme    2. Femme</t>
  </si>
  <si>
    <t>Quel est son âge?</t>
  </si>
  <si>
    <t xml:space="preserve">Quel est le lien de parenté avec le chef de ménage? 
1. Conjoint
2. Enfant
3. Autre parent
4. Sans lien    </t>
  </si>
  <si>
    <t>Est-ce que le problème […] a trouvé une solution ou se poursuit?
1. Solution trouvée                   2. Se poursuit ► Ligne suivante</t>
  </si>
  <si>
    <t>Après combien de mois le problème […] a-t-il trouvé une solution?</t>
  </si>
  <si>
    <t xml:space="preserve">Eté malade de Coronavirus </t>
  </si>
  <si>
    <t>Subi le recul de transferts de parents vivant à l'étranger du fait du coronavirus</t>
  </si>
  <si>
    <t>Subi le recul de transferts de parents vivant dans le pays du fait du coronavirus</t>
  </si>
  <si>
    <t>Subi la mévente de produits de l'agriculture du fait du coronavirus</t>
  </si>
  <si>
    <t>Renoncer à une visite à des parents ou amis dans le pays du fait du coronavirus</t>
  </si>
  <si>
    <t>Renoncer à une visite à des parents ou amis hors du pays du fait du coronavirus</t>
  </si>
  <si>
    <t>Renoncer à un voyage d'affaires dans le pays du fait du coronavirus</t>
  </si>
  <si>
    <t>Renoncer à un voyage d'affaires hors du pays du fait du coronavirus</t>
  </si>
  <si>
    <t>SECTION 14B: CHOCS ET STRATEGIES DE SURVIE</t>
  </si>
  <si>
    <t>Les questions (14B.04) et (14B.05)  (ci dessous) ne sont répondues que pour les chocs qui se sont produits au cours des 12 derniers mois</t>
  </si>
  <si>
    <t>14B.00</t>
  </si>
  <si>
    <t>Code ID du principal répondant à la section :</t>
  </si>
  <si>
    <t>14B.01</t>
  </si>
  <si>
    <t>Nature du choc</t>
  </si>
  <si>
    <t>14B.02</t>
  </si>
  <si>
    <t>14B.04</t>
  </si>
  <si>
    <t>14B.05</t>
  </si>
  <si>
    <t>Codes pour (14B.05)</t>
  </si>
  <si>
    <r>
      <t>Au cours des</t>
    </r>
    <r>
      <rPr>
        <b/>
        <sz val="9"/>
        <rFont val="Arial Narrow"/>
        <family val="2"/>
      </rPr>
      <t xml:space="preserve"> 3</t>
    </r>
    <r>
      <rPr>
        <b/>
        <u/>
        <sz val="9"/>
        <rFont val="Arial Narrow"/>
        <family val="2"/>
      </rPr>
      <t xml:space="preserve"> dernières années</t>
    </r>
    <r>
      <rPr>
        <sz val="9"/>
        <rFont val="Arial Narrow"/>
        <family val="2"/>
      </rPr>
      <t xml:space="preserve">, le ménage a-t-il été négativement affecté par le problème suivant ?
</t>
    </r>
  </si>
  <si>
    <t>Quand est-ce que ce choc a t-il eu lieu?
Si il y a plus de 12 mois  ► Choc suivant</t>
  </si>
  <si>
    <t>Comme conséquence de ce [CHOC], votre ménage a-t-il enregistré l'augmentation ou la baisse du […] suivant
(Lire les réponses proposées pour chaque colonne)</t>
  </si>
  <si>
    <r>
      <t xml:space="preserve">Quelle a été la stratégie adoptée par le ménage après le [CHOC] pour faire face à la situation?
</t>
    </r>
    <r>
      <rPr>
        <b/>
        <sz val="9"/>
        <rFont val="Arial Narrow"/>
        <family val="2"/>
      </rPr>
      <t>(</t>
    </r>
    <r>
      <rPr>
        <b/>
        <sz val="8"/>
        <rFont val="Arial Narrow"/>
        <family val="2"/>
      </rPr>
      <t>Pour chaque choc, donner jusqu'à 3 stratégies par ordre d'importance. Si le type de choc est survenu plusieurs fois au cours des 3 dernières années, considérer l'évènement le plus récent. Utiliser les codes sis à droite).</t>
    </r>
  </si>
  <si>
    <t>1. Utilisation de son épargne</t>
  </si>
  <si>
    <t>2. Aide de parents ou d'amis</t>
  </si>
  <si>
    <t>3. Aide du gouvernement/l'Etat</t>
  </si>
  <si>
    <t>Code</t>
  </si>
  <si>
    <t xml:space="preserve">4. Aide d'organisations religieuses ou d'ONG </t>
  </si>
  <si>
    <t>5. Marier les enfants</t>
  </si>
  <si>
    <t>6. Changement des habitudes de consommation  ( réduction du nombre de repas par jour, Réduction des quantités consommées, etc.)</t>
  </si>
  <si>
    <t>7. Achat d'aliments moins chers</t>
  </si>
  <si>
    <t xml:space="preserve">8. Les membres actifs occupés du ménages ont pris des emplois supplémentaires </t>
  </si>
  <si>
    <t>Revenus</t>
  </si>
  <si>
    <t>Avoirs</t>
  </si>
  <si>
    <t>Production agricole</t>
  </si>
  <si>
    <t>Effectif du Cheptel</t>
  </si>
  <si>
    <t>Stock de produits alimentaires</t>
  </si>
  <si>
    <t>Achat de produits alimentaires</t>
  </si>
  <si>
    <t>9. Les membres adultes (au moins 15 ans) inactifs ou chômeurs ont pris des emplois</t>
  </si>
  <si>
    <t>2 Non ► Choc suivant</t>
  </si>
  <si>
    <t xml:space="preserve">1ère </t>
  </si>
  <si>
    <t xml:space="preserve">2ème </t>
  </si>
  <si>
    <t>3ème</t>
  </si>
  <si>
    <t>10. Les enfants de moins de 15 ans ont été amenés à travailler</t>
  </si>
  <si>
    <t>Maladie grave ou accident d'un membre du ménage</t>
  </si>
  <si>
    <t>Décès d'un membre du ménage</t>
  </si>
  <si>
    <t>11. Les enfants ont été déscolarisés</t>
  </si>
  <si>
    <t>Divorce, séparation</t>
  </si>
  <si>
    <t>Sécheresse/Pluies irrégulières</t>
  </si>
  <si>
    <t>12. Migration de membres du ménage</t>
  </si>
  <si>
    <t>Inondations</t>
  </si>
  <si>
    <t>13. Réduction des dépenses de santé/d'éducation</t>
  </si>
  <si>
    <t>Incendies</t>
  </si>
  <si>
    <t>14. Obtention d'un crédit</t>
  </si>
  <si>
    <t>Taux élevé de maladies des cultures</t>
  </si>
  <si>
    <t>15. Vente des actifs agricoles</t>
  </si>
  <si>
    <t>Taux élevé de maladies des animaux</t>
  </si>
  <si>
    <t>16. Vente des biens durables du ménage</t>
  </si>
  <si>
    <t>Baisse importante des prix des produits agricoles</t>
  </si>
  <si>
    <t>17. Vente de terrain/immeubles/Maisons</t>
  </si>
  <si>
    <t>Prix élevés des intrants agricoles</t>
  </si>
  <si>
    <t>18. Louer/mettre ses terres en gages</t>
  </si>
  <si>
    <t>Prix élevés des produits alimentaires</t>
  </si>
  <si>
    <t>19. Vente du stock de vivres</t>
  </si>
  <si>
    <t>Fin de transferts réguliers provenant d'autres ménages</t>
  </si>
  <si>
    <t>20. Pratique plus importante des activités de pêche</t>
  </si>
  <si>
    <t>Perte importante du revenu non agricole du ménage  (autre que du fait d'un accident ou d'une maladie)</t>
  </si>
  <si>
    <t>21.Vente de bétail</t>
  </si>
  <si>
    <t>Faillite d'une entreprise non agricole du ménage</t>
  </si>
  <si>
    <t>22. Confiage des enfants à d'autres ménages</t>
  </si>
  <si>
    <t>Perte importante de revenus salariaux  (autre que du fait d'un accident ou d'une maladie)</t>
  </si>
  <si>
    <t>23. Engagé dans des activités spirituelles (prières, sacrifices, consultation de marabout, ...)</t>
  </si>
  <si>
    <t xml:space="preserve">Perte d'emploi salarié d'un membre </t>
  </si>
  <si>
    <t>Vol d'argent, de biens, de récolte ou de bétail</t>
  </si>
  <si>
    <t>24. Pratique de la culture de contre saison</t>
  </si>
  <si>
    <t>Conflit Agriculteur/Eleveur</t>
  </si>
  <si>
    <t>25. Autre stratégie (à préciser)</t>
  </si>
  <si>
    <t>Conflit armé/Violence/Insécurité</t>
  </si>
  <si>
    <t>Attaques acridiennes ou autres ravageurs de récolte</t>
  </si>
  <si>
    <t>26. Aucune stratégie</t>
  </si>
  <si>
    <t>Glissement de terrain</t>
  </si>
  <si>
    <t>SECTION 13: TRANSFERTS</t>
  </si>
  <si>
    <t>PARTIE A: TRANSFERTS RECUS PAR LE MENAGE</t>
  </si>
  <si>
    <t>Est-ce qu'un membre du ménage a un parent proche (père, mère, enfant, frère, sœur) qui vit dans un pays étranger ?</t>
  </si>
  <si>
    <t>Est ce que le ou les parents proches mentionnés ci-dessus ont envoyé de l'argent à un membre du ménage au cours des 12 derniers mois?</t>
  </si>
  <si>
    <t>Est-ce qu'un membre du ménage a d'autres parents (cousin, cousine, oncle, tante, grands-parents, petit-fils, etc.) ou amis qui vivent dans un pays étranger ?</t>
  </si>
  <si>
    <t>Est ce que ces parents ou amis mentionnés ci-dessus ont envoyé de l'argent à un membre du ménage au cours des 12 derniers mois?</t>
  </si>
  <si>
    <t xml:space="preserve">Au cours des 12 derniers mois, le ménage ou un de ses membres a-t-il néanmoins reçu de l’argent par cash par l'intermédiaire d'un voyageur, par une société de transfert (western union, money gram etc.), mobile banking, fax, transporteurs d’un parent ou tout autre personne non-membre du ménage qui vit dans le pays? </t>
  </si>
  <si>
    <t>Au cours des 12 derniers mois, le ménage ou un de ses membres a-t-il reçu de l'argent provenant de son fils, sa fille, son père, sa mère, son frère, sa soeur, de son conjoint(e) ou d'un autre membre de la famille n'habitant pas le ménage mais qui vit dans le pays?</t>
  </si>
  <si>
    <t>Au cours des 12 derniers mois, le ménage ou un de ses membres a-t-il reçu de l'argent de tout autre personne non-membre du ménage qui vit dans le pays?</t>
  </si>
  <si>
    <t>NUMERO DU TRANSFERT</t>
  </si>
  <si>
    <t xml:space="preserve"> Ecrivez le code ID du répondant.</t>
  </si>
  <si>
    <t>Code ID du bénéficiaire?</t>
  </si>
  <si>
    <t xml:space="preserve">Qui a envoyé/donné l'argent à [NOM]? </t>
  </si>
  <si>
    <t>Quel est le sexe de l'expéditeur?</t>
  </si>
  <si>
    <t>Quel est l'âge de l'expéditeur?</t>
  </si>
  <si>
    <t>Quel est le niveau d'instruction de l'expéditeur?</t>
  </si>
  <si>
    <t>Quel est le statut professionnel de l'expéditeur?</t>
  </si>
  <si>
    <t>Est-ce que l'expéditeur a jamais vécu dans ce ménage?</t>
  </si>
  <si>
    <t>Depuis combien d'années (en années révolues) est-il parti du ménage? (Par exemple mettre 0 pour moins d'un an)</t>
  </si>
  <si>
    <t>Quel est le lieu de résidence de l'expéditeur?</t>
  </si>
  <si>
    <t>Quel est le principal motif du transfert?</t>
  </si>
  <si>
    <t>Quel est le principal mode de transfert?</t>
  </si>
  <si>
    <t>Quelle est la fréquence des transferts et le montant envoyé à chaque fois?
(Si le montant est irrégulier noté le montant reçu au cours des 12 derniers mois)</t>
  </si>
  <si>
    <t>1 Même ville/village
2 Même région
3 Ailleurs au pays
4 Bénin
5 Burkina
6 Cap-Vert
7 C.I
8. Gambie
9. Ghana
10. Guinée
11. Guinée-Bissau
12 Libéria
13 Niger 
14 Nigeria
15 Mali
16 Serra-Leonne
17 Sénégal
18 Togo
12. Autre pays en Afrique
13. France
14. Espagne
15. Italie 
16. Etats Unis
17. Autre pays hors Afrique</t>
  </si>
  <si>
    <t>1 Scolarité, éducation</t>
  </si>
  <si>
    <t>1. Profession libérale sauf artisans
2.Agriculteur/Eleveur
3. Salarié
4. Artisans (mécanicien, soudeur, menuisier…)
5. Elève-étudiant
6. Inactif
7. Autres
8. Ne sait pas</t>
  </si>
  <si>
    <t>2 Santé, maladie</t>
  </si>
  <si>
    <t>Mettre 9999 pour Ne Sait Pas</t>
  </si>
  <si>
    <t>1 Aucun</t>
  </si>
  <si>
    <t>3 Soutien courant</t>
  </si>
  <si>
    <t>1 Société de transferts
2 Banque
3 Poste
4 Mobile Banking
5 Compensation
6 Cash (main à main)
7 Voyageur
8 Commerce/Fax 
9 Société de transports
10 Autre</t>
  </si>
  <si>
    <t>2 Primaire</t>
  </si>
  <si>
    <t>4 Appui travaux champs</t>
  </si>
  <si>
    <t>3 Secondaire 1</t>
  </si>
  <si>
    <t>CODE UNITE DE TEMPS</t>
  </si>
  <si>
    <t>1 Conjoint</t>
  </si>
  <si>
    <t>1   Masculin</t>
  </si>
  <si>
    <t>4 Secondaire 2</t>
  </si>
  <si>
    <t>5 Appui/ démarrage d'une entreprise non agricole</t>
  </si>
  <si>
    <t>1 Mois</t>
  </si>
  <si>
    <t>2 Enfant</t>
  </si>
  <si>
    <t>2   Féminin</t>
  </si>
  <si>
    <t>5 Supérieur</t>
  </si>
  <si>
    <t>2 Trimestre</t>
  </si>
  <si>
    <t>3 Père, Mère</t>
  </si>
  <si>
    <t>6 Ne sait pas</t>
  </si>
  <si>
    <t>3 Semestre</t>
  </si>
  <si>
    <t>4 Frère, soeur</t>
  </si>
  <si>
    <t xml:space="preserve">6 Fête/Evènements </t>
  </si>
  <si>
    <t>4 Année</t>
  </si>
  <si>
    <t>5 Autre parent</t>
  </si>
  <si>
    <t>7 Achat de terrain</t>
  </si>
  <si>
    <t>5 Irrégulier</t>
  </si>
  <si>
    <t>6 Aucun lien</t>
  </si>
  <si>
    <t>8 Construction d'une maison</t>
  </si>
  <si>
    <t>9 Aide à cause de la COVID-19</t>
  </si>
  <si>
    <t>10 Autre (à préciser)</t>
  </si>
  <si>
    <t>ANNEES</t>
  </si>
  <si>
    <t>SECTION 15: FILETS DE SECURITE</t>
  </si>
  <si>
    <t xml:space="preserve">(15.00)  Ecrivez le code ID du principal répondant à la section :    </t>
  </si>
  <si>
    <t>CODE DU PROGRAMME</t>
  </si>
  <si>
    <t>Est-ce vous ou un autre membre entendu parler de [PROGRAMME]?</t>
  </si>
  <si>
    <t>Au cours des 12 derniers mois, avez-vous ou un autre membre du ménage fait une demande pour bénéficier de [PROGRAMME]</t>
  </si>
  <si>
    <t>Pourquoi n'avez-vous pas fait de demande pour bénéficier de [PROGRAMME]?</t>
  </si>
  <si>
    <t xml:space="preserve">Au cours des 12 derniers mois, le ménage ou un de ses membres a-t-il bénéficié du [PROGRAMME] ci-dessous? </t>
  </si>
  <si>
    <t>Pourquoi le ménage ou un de ses membres n'a pas bénéficié?</t>
  </si>
  <si>
    <t>Est-ce l'ensemble du ménage qui a bénéficié de cette assistance ou alors quelques personnes spécifiques?</t>
  </si>
  <si>
    <t>Quels sont les numéros d'ordre des membres du ménage ayant bénéficié de cette assistance?</t>
  </si>
  <si>
    <t>Au cours des 12 derniers mois, combien de fois le ménage a-t-il reçu cette aide?</t>
  </si>
  <si>
    <t>Au cours des 12 derniers mois, pendant combien de temps le ménage a-t-il reçu cette aide?
Marquez le nombre de mois ou de jours et l'unité de temps choisi</t>
  </si>
  <si>
    <t>A quelle date (mois en 2 chiffres et année en 4 chiffres) le ménage a-t-il reçu cette aide pour la dernière fois au cours des 12 derniers mois?</t>
  </si>
  <si>
    <t>Avez-vous rencontré des difficultés pour percevoir le dernier paiement pour [PROGRAMME]?</t>
  </si>
  <si>
    <t>Quelle était la principale difficulté pour recevoir le dernier paiement pour ce [PROGRAMME]?</t>
  </si>
  <si>
    <t>Si l'individu n'est plus membre du ménage, écrire 98</t>
  </si>
  <si>
    <t>Les bourses d'études, les pensions (retraite, invalidité) et les subventions aux engrais agricoles ne sont pas prises en compte dans les programmes ci-dessous</t>
  </si>
  <si>
    <t>1 Pas elligible
2 Problème techniques au point de paiement
3 Distance au point de paiement trop longue
4 Absence du personnel au point de paiement
5 Arrêt temporaire du programme dû à la COVID-19
6 Autre (A spécifier)</t>
  </si>
  <si>
    <t>1 Problèmes techniques au point de paiement</t>
  </si>
  <si>
    <t>2 Non  ► Programme suivant</t>
  </si>
  <si>
    <t>2 Distance trop éloignée</t>
  </si>
  <si>
    <t>Unité de Temps</t>
  </si>
  <si>
    <t>3 Attente trop longue</t>
  </si>
  <si>
    <t xml:space="preserve">INS: il faut être précis sur les différents programmes et les adapter en utilisant les noms par exemple pour le Sénégal, on peut mettre : i) Programme d'urgence de développement communautaire; ii) Bourses de sécurité familiale; etc. </t>
  </si>
  <si>
    <t>2 Non ►Ligne suivante</t>
  </si>
  <si>
    <t xml:space="preserve">2 Individu </t>
  </si>
  <si>
    <t>4 Absence du personnel</t>
  </si>
  <si>
    <t>5 Autre (A spécifer)</t>
  </si>
  <si>
    <t>Individu 1</t>
  </si>
  <si>
    <t>Individu 2</t>
  </si>
  <si>
    <t>Individu 3</t>
  </si>
  <si>
    <t>Individu 4</t>
  </si>
  <si>
    <t>►►Ligne suivante</t>
  </si>
  <si>
    <t xml:space="preserve">Don de céréales (mil, sorgho, maïs, blé) </t>
  </si>
  <si>
    <t>Don de farines de céréales (semoule)</t>
  </si>
  <si>
    <t>Don de nourriture pour les élèves à l'école</t>
  </si>
  <si>
    <t>Nourriture contre travail</t>
  </si>
  <si>
    <t>Supplément alimentaire pour les enfants malnutrits</t>
  </si>
  <si>
    <t>Travaux publics à haute intensité de main-d'oeuvre 
(Cash for work)</t>
  </si>
  <si>
    <t xml:space="preserve">Transferts en cash du gouvernement/ONG etc. </t>
  </si>
  <si>
    <t>Programme de prise en charge des femmes enceintes</t>
  </si>
  <si>
    <t>Soins pour les enfants de moins de 5 ans</t>
  </si>
  <si>
    <t>Soutien à cause de la COVID-19</t>
  </si>
  <si>
    <t xml:space="preserve">Don de moustiquaire imprégnée </t>
  </si>
  <si>
    <t>Liste des Champs et parcelles exploitées par le ménage</t>
  </si>
  <si>
    <t>SECTION 16: AGRICULTURE</t>
  </si>
  <si>
    <t xml:space="preserve">PARTIE A: PARCELLES </t>
  </si>
  <si>
    <t xml:space="preserve">1=Oui 
2=Non ► Section 17 </t>
  </si>
  <si>
    <t>Numéro d'identification de la parcelle</t>
  </si>
  <si>
    <t>(16A.01)</t>
  </si>
  <si>
    <t>(16A.02)</t>
  </si>
  <si>
    <t>(16A.03)</t>
  </si>
  <si>
    <t>(16A.04)</t>
  </si>
  <si>
    <t>(16A.05)</t>
  </si>
  <si>
    <t>(16A.06)</t>
  </si>
  <si>
    <t>(16A.07)</t>
  </si>
  <si>
    <t>(16A.08)</t>
  </si>
  <si>
    <t>(16A.09)</t>
  </si>
  <si>
    <t>(16A.10)</t>
  </si>
  <si>
    <t>(16A.11)</t>
  </si>
  <si>
    <t>(16A.12)</t>
  </si>
  <si>
    <t>(16A.13)</t>
  </si>
  <si>
    <t>(16A.14)</t>
  </si>
  <si>
    <t>(16A.15)</t>
  </si>
  <si>
    <t>(16A.16)</t>
  </si>
  <si>
    <t>(16A.17)</t>
  </si>
  <si>
    <t>(16A.18)</t>
  </si>
  <si>
    <t>(16A.19)</t>
  </si>
  <si>
    <t>(16A.20)</t>
  </si>
  <si>
    <t>(16A.21)</t>
  </si>
  <si>
    <t>(16A.22)</t>
  </si>
  <si>
    <t>(16A.23)</t>
  </si>
  <si>
    <t>(16A.24)</t>
  </si>
  <si>
    <t>(16A.25)</t>
  </si>
  <si>
    <t>(16A.26)</t>
  </si>
  <si>
    <t>(16A.27)</t>
  </si>
  <si>
    <t>(16A.28)</t>
  </si>
  <si>
    <t>(16A.29)</t>
  </si>
  <si>
    <t>(16A.30)</t>
  </si>
  <si>
    <t>(16A.31)</t>
  </si>
  <si>
    <t>(16A.32)</t>
  </si>
  <si>
    <t>(16A.33)</t>
  </si>
  <si>
    <t>(16A.34)</t>
  </si>
  <si>
    <t>(16A.35)</t>
  </si>
  <si>
    <t>(16A.36)</t>
  </si>
  <si>
    <t>(16A.37)</t>
  </si>
  <si>
    <t>(16A.38)</t>
  </si>
  <si>
    <t>(16A.39)</t>
  </si>
  <si>
    <t>(16A.40)</t>
  </si>
  <si>
    <t>(16A.41)</t>
  </si>
  <si>
    <t>(16A.42)</t>
  </si>
  <si>
    <t>(16A.43)</t>
  </si>
  <si>
    <t>(16A.44)</t>
  </si>
  <si>
    <t>(16A.45)</t>
  </si>
  <si>
    <t>(16A.46)</t>
  </si>
  <si>
    <t>(16A.47)</t>
  </si>
  <si>
    <t>(16A.48)</t>
  </si>
  <si>
    <t>Numéro
 d'ordre du champ</t>
  </si>
  <si>
    <t>Numéro de la parcelle dans le champ.</t>
  </si>
  <si>
    <t>Quel est le numéro d'ordre du répondant pour cette parcelle?</t>
  </si>
  <si>
    <r>
      <t xml:space="preserve">Quel est le numéro d'ordre de la personne qui exploite la parcelle?
</t>
    </r>
    <r>
      <rPr>
        <i/>
        <sz val="8"/>
        <rFont val="Arial Narrow"/>
        <family val="2"/>
      </rPr>
      <t xml:space="preserve"> (Utilisez les ID de la section B sur les caractéristiques démographiques du ménage)</t>
    </r>
  </si>
  <si>
    <r>
      <t>Quelle est la superficie de la parcelle selon l'exploitant (</t>
    </r>
    <r>
      <rPr>
        <i/>
        <sz val="9"/>
        <rFont val="Arial Narrow"/>
        <family val="2"/>
      </rPr>
      <t>Donner la superficie en hectares ou en mètres carrés avec deux décimales</t>
    </r>
    <r>
      <rPr>
        <sz val="9"/>
        <rFont val="Arial Narrow"/>
        <family val="2"/>
      </rPr>
      <t>)
Unité: 
1. Hectare (ha)
2. Mètre Carré (m^2)</t>
    </r>
  </si>
  <si>
    <t xml:space="preserve">Quel est le mode d'occupation de cette parcelle?                                                                                                                                                                                                                                                 </t>
  </si>
  <si>
    <r>
      <t>Quel est le numéro d'ordre du propriétaire de la parcelle?</t>
    </r>
    <r>
      <rPr>
        <i/>
        <sz val="8"/>
        <rFont val="Arial Narrow"/>
        <family val="2"/>
      </rPr>
      <t xml:space="preserve"> (Utilisez les ID de la section sur les caractéristiques démographiques du ménage)</t>
    </r>
  </si>
  <si>
    <t xml:space="preserve">Quel est le mode d'acquisition de cette parcelle?
                                                                                                                                                                                                                                                 1=Achat                                 
2=Héritage
3=Mariage                                                                                                                     4=Don                                                                                                                                                                                                                                                                                                          5=Autre  (à préciser)                                                                                                                                                
</t>
  </si>
  <si>
    <t>Quels sont les membres du ménage qui figurent sur ce document légal?</t>
  </si>
  <si>
    <t>Quelle est la principale source de préoccupation?</t>
  </si>
  <si>
    <t>Quelle est la principale source d'eau de cette parcelle?</t>
  </si>
  <si>
    <t>Quel est le type de sol de cette parcelle?</t>
  </si>
  <si>
    <t>Quelle est la topographie de cette parcelle?</t>
  </si>
  <si>
    <t>Comment évaluez-vous la fertilité de cette parcelle?</t>
  </si>
  <si>
    <t>Combien de temps faut-il avec le moyen usuel pour se rendre à cette parcelle de l'habitation?</t>
  </si>
  <si>
    <t xml:space="preserve">Quel a été le principal mode d'acquisition de ces déchets d'animaux?
1=Parcage direct
2=Parcage indirect                                                        3=Achat
4= Animaux propres
5=Autre (à préciser)
</t>
  </si>
  <si>
    <t>Quelle quantité de fumure avez-vous appliquée sur la parcelle?
[Inscrire 98 pour les cas de parcage diect ou indirect où le répondant ne peut déterminer la quantité]
Code Unité
1=Kg
2=Gros sac
3=Sac moyen
4=Petit sac
5=Charrette asine 
6=Charrette bovine
7=Seau 
8=Panier                                                                                                                                                                                                                                        9=Camion benne</t>
  </si>
  <si>
    <t>Combien de fois avez vous appliqué les ordures ménagères sur cette parcelle pendant cette campagne?</t>
  </si>
  <si>
    <t>Combien de fois avez vous appliqué les engrais inorganiques sur cette parcelle durant cette campagne?</t>
  </si>
  <si>
    <t>Engrais Inorganiques/Chimiques</t>
  </si>
  <si>
    <t xml:space="preserve">Produits Phytosanitaires </t>
  </si>
  <si>
    <t>Pour les membres du ménage ayant travaillé sur la parcelle pendant la période de préparation du sol et des semis, le nombre de jours effectué par chaque personne</t>
  </si>
  <si>
    <t>Pour les membres du ménage ayant travaillé sur la parcelle pour le sarclage et l'entretien du sol, le nombre de jours effectué par chaque personne</t>
  </si>
  <si>
    <t>Pour les membres du ménage ayant travaillé sur la parcelle pendant les récoltes, le nombre de jours effectué par chaque membre du ménage</t>
  </si>
  <si>
    <t>Pour la main-d'oeuvre non-familiale ayant travaillé sur la parcellepour la période de préparation du sol (labour) et des semis, donnez le nombre de personnes de chaque catégorie, le nombre de jours total effectué par chaque catégorie et le salaire total versé à chaque catégorie de personne</t>
  </si>
  <si>
    <t>Pour la main-d'oeuvre non-familiale ayant travaillé sur la parcellepour la période d'entretien du sol (sarclage, etc.), donnez le nombre de personnes de chaque catégorie, le nombre de jours total effectué par chaque catégorie et le salaire total versé à chaque catégorie de personne</t>
  </si>
  <si>
    <t>Pour la main-d'oeuvre non-familiale ayant travaillé sur la parcellepour la période des récoltes , donnez le nombre de personnes de chaque catégorie, le nombre de jours total effectué par chaque catégorie et le salaire total versé à chaque catégorie de personne</t>
  </si>
  <si>
    <t>Coordonnées GPS de la parcelle</t>
  </si>
  <si>
    <t>Quelle est la superficie de la parcelle (en hectare) selon les mesures GPS?
 ►► (parcelle suivante)</t>
  </si>
  <si>
    <t>Pour quelle raison principale la parcelle n'a t-elle pas été mesurée?
1=Trop petite
2=GPS en panne
3=Ménage indisponible
4= Trop éloignée
5 = Autre (à préciser)</t>
  </si>
  <si>
    <t xml:space="preserve"> Code Unité : 1=Kilogramme   2=Tonne   3=Sac</t>
  </si>
  <si>
    <r>
      <t xml:space="preserve">Quelle quantité de pesticides avez-vous utilisée ?
</t>
    </r>
    <r>
      <rPr>
        <b/>
        <sz val="8"/>
        <rFont val="Arial Narrow"/>
        <family val="2"/>
      </rPr>
      <t xml:space="preserve">Mettre zéro si les pesticides ne sont pas utilisés                               
</t>
    </r>
    <r>
      <rPr>
        <b/>
        <u/>
        <sz val="8"/>
        <rFont val="Arial Narrow"/>
        <family val="2"/>
      </rPr>
      <t>Code Unité</t>
    </r>
    <r>
      <rPr>
        <sz val="9"/>
        <rFont val="Arial Narrow"/>
        <family val="2"/>
      </rPr>
      <t xml:space="preserve">
</t>
    </r>
    <r>
      <rPr>
        <sz val="8"/>
        <rFont val="Arial Narrow"/>
        <family val="2"/>
      </rPr>
      <t>1=Gramme
2=Kg
3=Litres
4=Sachet</t>
    </r>
    <r>
      <rPr>
        <sz val="9"/>
        <rFont val="Arial Narrow"/>
        <family val="2"/>
      </rPr>
      <t xml:space="preserve">
</t>
    </r>
  </si>
  <si>
    <r>
      <t xml:space="preserve">Quelle quantité de fongicides avez-vous utilisée ?
</t>
    </r>
    <r>
      <rPr>
        <b/>
        <sz val="8"/>
        <rFont val="Arial Narrow"/>
        <family val="2"/>
      </rPr>
      <t xml:space="preserve">Mettre zéro si les fongicides ne sont pas utilisés                                 </t>
    </r>
    <r>
      <rPr>
        <b/>
        <u/>
        <sz val="8"/>
        <rFont val="Arial Narrow"/>
        <family val="2"/>
      </rPr>
      <t>Code Unité</t>
    </r>
    <r>
      <rPr>
        <sz val="9"/>
        <rFont val="Arial Narrow"/>
        <family val="2"/>
      </rPr>
      <t xml:space="preserve">
</t>
    </r>
    <r>
      <rPr>
        <sz val="8"/>
        <rFont val="Arial Narrow"/>
        <family val="2"/>
      </rPr>
      <t xml:space="preserve">1=Gramme
2=Kg 
3=Litres
4=Sachet
</t>
    </r>
  </si>
  <si>
    <r>
      <t xml:space="preserve">Quelle quantité d'herbicides avez-vous utilisée?
</t>
    </r>
    <r>
      <rPr>
        <b/>
        <sz val="8"/>
        <rFont val="Arial Narrow"/>
        <family val="2"/>
      </rPr>
      <t xml:space="preserve">Mettre zéro si les herbicides ne sont pas utilisés                                       </t>
    </r>
    <r>
      <rPr>
        <b/>
        <u/>
        <sz val="8"/>
        <rFont val="Arial Narrow"/>
        <family val="2"/>
      </rPr>
      <t xml:space="preserve"> Code Unité</t>
    </r>
    <r>
      <rPr>
        <sz val="9"/>
        <rFont val="Arial Narrow"/>
        <family val="2"/>
      </rPr>
      <t xml:space="preserve">
</t>
    </r>
    <r>
      <rPr>
        <sz val="8"/>
        <rFont val="Arial Narrow"/>
        <family val="2"/>
      </rPr>
      <t xml:space="preserve">1=Gramme
2=Kg 
3=Litres
4=Sachet
</t>
    </r>
  </si>
  <si>
    <r>
      <t xml:space="preserve">Quelle quantité des autres produits phytosanitaires (raticides, etc.) avez-vous utilisée ?
</t>
    </r>
    <r>
      <rPr>
        <b/>
        <sz val="8"/>
        <rFont val="Arial Narrow"/>
        <family val="2"/>
      </rPr>
      <t xml:space="preserve">Mettre zéro si les autres produits ne sont pas utilisés
</t>
    </r>
    <r>
      <rPr>
        <b/>
        <u/>
        <sz val="8"/>
        <rFont val="Arial Narrow"/>
        <family val="2"/>
      </rPr>
      <t>Code Unité</t>
    </r>
    <r>
      <rPr>
        <sz val="9"/>
        <rFont val="Arial Narrow"/>
        <family val="2"/>
      </rPr>
      <t xml:space="preserve">
</t>
    </r>
    <r>
      <rPr>
        <sz val="8"/>
        <rFont val="Arial Narrow"/>
        <family val="2"/>
      </rPr>
      <t xml:space="preserve">1=Gramme
2=Kg 
3=Litres
4=Sachet
</t>
    </r>
  </si>
  <si>
    <t>(Utilisez les ID de la section sur les caractéristiques démographiques du ménage)</t>
  </si>
  <si>
    <r>
      <t xml:space="preserve">Quelle quantité d’Urée avez-vous utilisée ?
</t>
    </r>
    <r>
      <rPr>
        <b/>
        <sz val="8"/>
        <rFont val="Arial Narrow"/>
        <family val="2"/>
      </rPr>
      <t>Mettre zéro si l’urée n’est pas utilisée</t>
    </r>
    <r>
      <rPr>
        <sz val="9"/>
        <rFont val="Arial Narrow"/>
        <family val="2"/>
      </rPr>
      <t xml:space="preserve">
</t>
    </r>
  </si>
  <si>
    <r>
      <t xml:space="preserve">Quelle quantité de  Phosphates avez-vous utilisée ?
</t>
    </r>
    <r>
      <rPr>
        <b/>
        <sz val="8"/>
        <rFont val="Arial Narrow"/>
        <family val="2"/>
      </rPr>
      <t>Mettre zéro si le Phosphate n’est pas utilisé</t>
    </r>
    <r>
      <rPr>
        <sz val="9"/>
        <rFont val="Arial Narrow"/>
        <family val="2"/>
      </rPr>
      <t xml:space="preserve">
</t>
    </r>
  </si>
  <si>
    <r>
      <t xml:space="preserve">Quelle quantité de NPK/Formule unique avez-vous utilisée?
</t>
    </r>
    <r>
      <rPr>
        <b/>
        <sz val="8"/>
        <rFont val="Arial Narrow"/>
        <family val="2"/>
      </rPr>
      <t>Mettre zéro si le NPK n’est pas utilisé</t>
    </r>
    <r>
      <rPr>
        <sz val="9"/>
        <rFont val="Arial Narrow"/>
        <family val="2"/>
      </rPr>
      <t xml:space="preserve">
</t>
    </r>
  </si>
  <si>
    <r>
      <t xml:space="preserve">Quelle quantité de DAP ou d’autres engrais chimiques avez-vous utilisée ?
</t>
    </r>
    <r>
      <rPr>
        <b/>
        <sz val="8"/>
        <rFont val="Arial Narrow"/>
        <family val="2"/>
      </rPr>
      <t>Mettre zéro si l'autre n’est pas utilisé</t>
    </r>
    <r>
      <rPr>
        <sz val="9"/>
        <rFont val="Arial Narrow"/>
        <family val="2"/>
      </rPr>
      <t xml:space="preserve">
</t>
    </r>
  </si>
  <si>
    <t>1=Sableux</t>
  </si>
  <si>
    <t xml:space="preserve">1=Litige de limites de terrain
2=Propriété : lié à l'héritage
3=Propriété : lié à la vente
4=Propriété : expropriation
5 = Propriété : bandits, conflits armés
5=Autre (à préciser) 
</t>
  </si>
  <si>
    <t>2=Limoneux</t>
  </si>
  <si>
    <t>1=Colline</t>
  </si>
  <si>
    <t>1 = Irrigation, propre puits/ forage/ chateau d'eau</t>
  </si>
  <si>
    <t>3=Argileux</t>
  </si>
  <si>
    <t>2=Plaine, terrain plat</t>
  </si>
  <si>
    <t>1=Bonne</t>
  </si>
  <si>
    <t>2 = Irrigation canal</t>
  </si>
  <si>
    <t>4=Glacis</t>
  </si>
  <si>
    <t>3=Pente douce</t>
  </si>
  <si>
    <t>2=Moyenne</t>
  </si>
  <si>
    <t>3 = Irrigation ruisseau</t>
  </si>
  <si>
    <t>5=Autre</t>
  </si>
  <si>
    <t>4=Pente raide</t>
  </si>
  <si>
    <t>3=Faible</t>
  </si>
  <si>
    <t>4 = Pluviale</t>
  </si>
  <si>
    <t>5=Vallée</t>
  </si>
  <si>
    <t>5 = Marais/"wetlands"</t>
  </si>
  <si>
    <t>6=Autre</t>
  </si>
  <si>
    <t>6 = Autre (à preciser)</t>
  </si>
  <si>
    <t>Quantité</t>
  </si>
  <si>
    <t>Unité</t>
  </si>
  <si>
    <t>Individu 5</t>
  </si>
  <si>
    <t>Individu 6</t>
  </si>
  <si>
    <t>Individu 7</t>
  </si>
  <si>
    <t>Individu 8</t>
  </si>
  <si>
    <t>Hommes (15 ans et plus)</t>
  </si>
  <si>
    <t>Femmes (15 ans et plus)</t>
  </si>
  <si>
    <t>Garçons (moins de 15 ans)</t>
  </si>
  <si>
    <t>Filles (moins de 15 ans)</t>
  </si>
  <si>
    <t>NOM (LIEU DIT)</t>
  </si>
  <si>
    <t>Numéro</t>
  </si>
  <si>
    <t>MINUTES</t>
  </si>
  <si>
    <t xml:space="preserve"> ID</t>
  </si>
  <si>
    <t>Effectif</t>
  </si>
  <si>
    <t>Salaires</t>
  </si>
  <si>
    <t>HA</t>
  </si>
  <si>
    <t>14</t>
  </si>
  <si>
    <t>15</t>
  </si>
  <si>
    <t>PARTIE B: COUTS DES INTRANTS</t>
  </si>
  <si>
    <r>
      <t xml:space="preserve">(16B.00) </t>
    </r>
    <r>
      <rPr>
        <sz val="9"/>
        <rFont val="Arial Narrow"/>
        <family val="2"/>
      </rPr>
      <t>Quel est le code ID du répondant?</t>
    </r>
  </si>
  <si>
    <t>(16B.01)</t>
  </si>
  <si>
    <t>(16B.02)</t>
  </si>
  <si>
    <t>(16B.03)</t>
  </si>
  <si>
    <t>(16B.04)</t>
  </si>
  <si>
    <t>(16B.05)</t>
  </si>
  <si>
    <t>(16B.06)</t>
  </si>
  <si>
    <t>(16B.07)</t>
  </si>
  <si>
    <t>(16B.08)</t>
  </si>
  <si>
    <t>(16B.09)</t>
  </si>
  <si>
    <t>Type d'intrants</t>
  </si>
  <si>
    <t>Avez-vous utilisé [INTRANT]?
1=Oui
2=Non ► Intrant Suivant</t>
  </si>
  <si>
    <t>Où avez-vous acquis la plupart de [INTRANT]?
1=Coopérative
2=Marché/Boutique
3=Autoproduction
4=Autre paysan ou ménage 
5=Animaux dans le champ
6= Structure Etatique
7= Banque céréalière
8 = Ramassage
9 =Autre (à préciser)</t>
  </si>
  <si>
    <t xml:space="preserve">Avez-vous obtenu [INTRANT] sous forme de cadeau ou de don?
1=Oui
2=Non ► (16B.08)
</t>
  </si>
  <si>
    <t>Auprès de qui avez-vous principalement obtenu de cadeau/don ?
1=Autre ménage
2=Etat
3=ONG
4 = Association /Groupement de village
4=Autre (à préciser)</t>
  </si>
  <si>
    <t xml:space="preserve">Selon vous, quelle est la quantité en [INTRANT] reçue sous forme de cadeau ou de don?
01=Gramme     
02=Kilogramme   
03=Tonne   
04=Litre   
05=Charrettée    
</t>
  </si>
  <si>
    <t>Avez-vous acheté [INTRANT]?
1=Oui
2=Non ► Intrant Suivant</t>
  </si>
  <si>
    <r>
      <t xml:space="preserve">Quelles sont la quantité et la valeur totale de [INTRANT] achetées?
01=Gramme     
02=Kilogramme   
03=Tonne   
04=Litre   
05=Charretée  </t>
    </r>
    <r>
      <rPr>
        <sz val="8"/>
        <color indexed="8"/>
        <rFont val="Arial Narrow"/>
        <family val="2"/>
      </rPr>
      <t xml:space="preserve">
</t>
    </r>
  </si>
  <si>
    <t>QUANTITÉ</t>
  </si>
  <si>
    <t>Libellé</t>
  </si>
  <si>
    <t>F CFA</t>
  </si>
  <si>
    <t>Engrais organiques - déchets d'animaux</t>
  </si>
  <si>
    <t>Engrais organiques - Ordures ménagères</t>
  </si>
  <si>
    <t>Engrais inorganiques - Urée</t>
  </si>
  <si>
    <t>Engrais inorganiques - Phosphates</t>
  </si>
  <si>
    <t>Engrais inorganiques - 
NPK/Formule unique</t>
  </si>
  <si>
    <t>DAP et autres engrais inorganiques</t>
  </si>
  <si>
    <t>Produits phytosanitaires - 
Pesticides</t>
  </si>
  <si>
    <t>Produits phytosanitaires - 
Herbicides</t>
  </si>
  <si>
    <t>Produits phytosanitaires -
 Fongicides</t>
  </si>
  <si>
    <t>Autres produits 
phytosanitaires</t>
  </si>
  <si>
    <t>Semences de petit mil</t>
  </si>
  <si>
    <t>Semences de sorgho</t>
  </si>
  <si>
    <t>Semences de maïs</t>
  </si>
  <si>
    <t>Semences de riz</t>
  </si>
  <si>
    <t>Semences d'autres céréales</t>
  </si>
  <si>
    <t>Semences de coton</t>
  </si>
  <si>
    <t>Semences de césame</t>
  </si>
  <si>
    <t>Semences de haricots/niébé</t>
  </si>
  <si>
    <t>Plants/boutures de tubercules</t>
  </si>
  <si>
    <t xml:space="preserve">Autres semences 
</t>
  </si>
  <si>
    <t>Liste des  cultures dans les champs et parcelles exploitées par le ménage</t>
  </si>
  <si>
    <t>PARTIE C1: CULTURES</t>
  </si>
  <si>
    <t>Numéro d'identification de la culture dans la parcelle</t>
  </si>
  <si>
    <t>Numéro d'ordre du champ</t>
  </si>
  <si>
    <t>Numéro d'ordre de la parcelle</t>
  </si>
  <si>
    <t>Code de la culture</t>
  </si>
  <si>
    <t>Nom de la culture dans la parcelle
(Inscrire les noms des cultures pratiquées dans le ménage et le code correspondant en 16C.04)</t>
  </si>
  <si>
    <t>Quel est le numéro d'ordre du répondant pour cette culture dans cette parcelle?</t>
  </si>
  <si>
    <t>Quel pourcentage de la parcelle, cette culture a t-elle occupé?</t>
  </si>
  <si>
    <r>
      <t xml:space="preserve">Quel type de semences avez-vous principalement utilisé pour cette culture? 
</t>
    </r>
    <r>
      <rPr>
        <sz val="8"/>
        <rFont val="Arial Narrow"/>
        <family val="2"/>
      </rPr>
      <t xml:space="preserve">1=Locales 
2=Améliorées </t>
    </r>
  </si>
  <si>
    <t>Quelle quantité de semences avez-vous appliqué sur la parcelle?
(Pour les cultures pérennes, mettre 9999)
Code:
1 = grammes
2 = kilogrammes</t>
  </si>
  <si>
    <t>Pourquoi n'avez vous pas pu récolter toute la surface de la parcelle?
1 = Sécheresse
2 = Feu
3 = Insectes
4 = Animaux
5 = Vols
6 = Maladie des plantes
7 = Manque de main d'oeuvre
8 = Autre</t>
  </si>
  <si>
    <t>Quel pourcentage de la parcelle a été perdue?
Si 100% de la parcelle ► Culture suivante</t>
  </si>
  <si>
    <t>(POURSUIVRE AVEC LE MEME ORDRE DES CHAMPS ET PARCELLES QUE LA SECTION 16A, ET POUR CHAQUE PARCELLE, FAIRE LA LISTE DE TOUTES LES CULTURES, UNE CULTURE PAR LIGNE ET PAR PARCELLE)</t>
  </si>
  <si>
    <t>Code Unité:</t>
  </si>
  <si>
    <t>Code Etat</t>
  </si>
  <si>
    <t>1 = épis/coques, 2 = grains, 3 = NA</t>
  </si>
  <si>
    <t>Quantitté</t>
  </si>
  <si>
    <t>Quantité en 
UML</t>
  </si>
  <si>
    <t>UML</t>
  </si>
  <si>
    <t>Estimation Quantité totale UML en kg</t>
  </si>
  <si>
    <t>Etat du produit</t>
  </si>
  <si>
    <t>POURCENTS</t>
  </si>
  <si>
    <t>PARTIE D: UTILISATION DE LA PRODUCTION</t>
  </si>
  <si>
    <t>Numéro d'identification de la culture</t>
  </si>
  <si>
    <r>
      <t xml:space="preserve">Quelle est la quantité de ce produit déjà consommée dans le ménage? 
</t>
    </r>
    <r>
      <rPr>
        <i/>
        <sz val="8"/>
        <rFont val="Arial Narrow"/>
        <family val="2"/>
      </rPr>
      <t xml:space="preserve">(inscrire 0 si la conso est nulle, Inscrire la quantité consommée en UML de la colonne suivante)
 </t>
    </r>
    <r>
      <rPr>
        <i/>
        <sz val="9"/>
        <rFont val="Arial Narrow"/>
        <family val="2"/>
      </rPr>
      <t xml:space="preserve">
</t>
    </r>
  </si>
  <si>
    <r>
      <t xml:space="preserve">Quelle est la quantité de ce produit offerte (don/cadeau) à d'autres ménages? 
</t>
    </r>
    <r>
      <rPr>
        <i/>
        <sz val="8"/>
        <color indexed="8"/>
        <rFont val="Arial Narrow"/>
        <family val="2"/>
      </rPr>
      <t>(inscrire 0 s'il n'y a pas eu de dons, Inscrire la colonne la quantité faite cadeau en UML de la colonne suivante)</t>
    </r>
  </si>
  <si>
    <r>
      <t xml:space="preserve">Quelle est la quantité de ce produit qui a déjà été vendue?
</t>
    </r>
    <r>
      <rPr>
        <i/>
        <sz val="8"/>
        <color indexed="17"/>
        <rFont val="Arial Narrow"/>
        <family val="2"/>
      </rPr>
      <t xml:space="preserve">(Inscrire sur cette colonne la quantité vendue en UML de la colonne suivante) 
   </t>
    </r>
    <r>
      <rPr>
        <sz val="8"/>
        <color indexed="17"/>
        <rFont val="Arial Narrow"/>
        <family val="2"/>
      </rPr>
      <t xml:space="preserve">   </t>
    </r>
  </si>
  <si>
    <t>Quel a été le montant tiré de la vente de ce produit?</t>
  </si>
  <si>
    <r>
      <rPr>
        <sz val="9"/>
        <rFont val="Arial Narrow"/>
        <family val="2"/>
      </rPr>
      <t>Quelle est la personne qui controle le revenu tiré de cette vente ?</t>
    </r>
    <r>
      <rPr>
        <i/>
        <sz val="8"/>
        <rFont val="Arial Narrow"/>
        <family val="2"/>
      </rPr>
      <t xml:space="preserve"> (Inscrire le numéro d’ordre de la personne)</t>
    </r>
  </si>
  <si>
    <r>
      <rPr>
        <sz val="9"/>
        <rFont val="Arial Narrow"/>
        <family val="2"/>
      </rPr>
      <t xml:space="preserve">A qui avez-vous vendu principalement?
</t>
    </r>
    <r>
      <rPr>
        <sz val="8"/>
        <rFont val="Arial Narrow"/>
        <family val="2"/>
      </rPr>
      <t>1=Marché 
2=Ménage/Particulier
3=Coopérative
4=Opérateur privé
5=Etat
6=Banques de céréales
5=Autre (à préciser)</t>
    </r>
  </si>
  <si>
    <t>Quel revenu avez vous tiré de la vente des résidus de [CULTURE]?</t>
  </si>
  <si>
    <r>
      <t xml:space="preserve">Quelle est la principale méthode de stockage de cette culture?  
</t>
    </r>
    <r>
      <rPr>
        <sz val="8"/>
        <rFont val="Arial Narrow"/>
        <family val="2"/>
      </rPr>
      <t xml:space="preserve">1=Grenier dans la concession 
2=Grenier en dehors  
3=Magasin  
4=Hangar
5=Toit de la maison
6= Aucune méthode de stockage 
7=Autre (à préciser)               </t>
    </r>
    <r>
      <rPr>
        <sz val="9"/>
        <rFont val="Arial Narrow"/>
        <family val="2"/>
      </rPr>
      <t xml:space="preserve">             </t>
    </r>
  </si>
  <si>
    <r>
      <t xml:space="preserve">Quelle est la quantité de ce produit de la présente campagne en stock (en grenier et hors grenier)?
</t>
    </r>
    <r>
      <rPr>
        <i/>
        <sz val="8"/>
        <rFont val="Arial Narrow"/>
        <family val="2"/>
      </rPr>
      <t xml:space="preserve">(Inscrire sur cette colonne la quantité en stock en UML de la colonne suivante)
</t>
    </r>
  </si>
  <si>
    <r>
      <t xml:space="preserve">Quelle quantité de ce que vous avez en stock envisagez-vous de vendre?
</t>
    </r>
    <r>
      <rPr>
        <i/>
        <sz val="8"/>
        <rFont val="Arial Narrow"/>
        <family val="2"/>
      </rPr>
      <t xml:space="preserve">(Inscrire sur cette colonne la quantité en stock en UML de la colonne suivante)
</t>
    </r>
  </si>
  <si>
    <t>Rencontrez-vous des difficultés dans l'écoulement du produit?                                                                                                                                                                                                       1=Oui                                                                                                                                                                                                                                                                                                                                    2=Non ► Culture Suivante</t>
  </si>
  <si>
    <r>
      <rPr>
        <sz val="9"/>
        <color indexed="17"/>
        <rFont val="Arial Narrow"/>
        <family val="2"/>
      </rPr>
      <t xml:space="preserve">Quels sont les deux principales difficultés rencontrées dans la vente de ce produit ?
</t>
    </r>
    <r>
      <rPr>
        <i/>
        <sz val="8"/>
        <color indexed="17"/>
        <rFont val="Arial Narrow"/>
        <family val="2"/>
      </rPr>
      <t>1=Eloignement des routes 
2=Eloignement des marchés
3 = Marchés inaccessible du fait de la COVID-19
4=Coûts élevé du transport
5=Route impratiquable 
6=Manque de clients 
7=Prix faibles
8= Insécurité  
9=Autre (à préciser)
►►Culture Suivante</t>
    </r>
  </si>
  <si>
    <t>RAPPORTER LES CULTURES RECENSÉES À LA SECTION PRÉCÉDENTE
(Inscrire les noms des cultures pratiquées dans le ménage et le code correspondant en 16C.04)</t>
  </si>
  <si>
    <t>1 = épis/coques/panucules, 2 = grains, 3 = NA</t>
  </si>
  <si>
    <t>1 = épis/coques/panicules, 2 = grains, 3 = NA</t>
  </si>
  <si>
    <t>Quantité en UML</t>
  </si>
  <si>
    <t>Montant FCFA</t>
  </si>
  <si>
    <t>Etat du 
Produit</t>
  </si>
  <si>
    <t>Difficulté 1</t>
  </si>
  <si>
    <t>Difficulté 2</t>
  </si>
  <si>
    <t>NOM DE LA CULTURE</t>
  </si>
  <si>
    <t>SECTION 17: ELEVAGE</t>
  </si>
  <si>
    <r>
      <rPr>
        <b/>
        <sz val="9"/>
        <color indexed="8"/>
        <rFont val="Arial Narrow"/>
        <family val="2"/>
      </rPr>
      <t>(17.00)</t>
    </r>
    <r>
      <rPr>
        <sz val="9"/>
        <color indexed="8"/>
        <rFont val="Arial Narrow"/>
        <family val="2"/>
      </rPr>
      <t xml:space="preserve"> Au cours des 12 derniers mois, est-ce que le ménage ou un de ses membres a possédé ou élèvé des animaux qui lui appartiennent ou qui appartiennent à un autre ménage?</t>
    </r>
  </si>
  <si>
    <t xml:space="preserve">1 = Possède des animaux qu'il a confié, ou élève  des animaux qui lui appartiennent ou qui appartiennent à un autre ménage </t>
  </si>
  <si>
    <t>2 = Ne possède et n'élève pas d'animaux  ► Section 18</t>
  </si>
  <si>
    <t xml:space="preserve">Au cours des 12 derniers mois, le ménage a-t-il possédé ou élevé des […] ; soit  qu’il possède lui-même, soit qui lui sont confiés par d’autres ménages?
1=Oui
2=Non ►Ligne suivante 
</t>
  </si>
  <si>
    <t>Quel est le code du répondant?</t>
  </si>
  <si>
    <t>A qui appartient les […] et combien de bêtes possèdent ce membre du ménage et qui decide de la vente de ces animaux?
Code pour le vendeur
1 = Personne elle même
2 = Une autre Personne</t>
  </si>
  <si>
    <t xml:space="preserve">Quelle est la valeur de l’achat de ces […] ?
</t>
  </si>
  <si>
    <t>Qui a décidé de la vente des [..] dans le ménage?</t>
  </si>
  <si>
    <t>Quel pourcentage du revenu de la vente de ces […] revient au ménage ?</t>
  </si>
  <si>
    <t>Quelle a été la valeur brute de la vente de ces […] ?</t>
  </si>
  <si>
    <t>Combien avez-vous supporté comme frais de transport, commissions et taxes sur la vente de ces [...]?</t>
  </si>
  <si>
    <r>
      <t xml:space="preserve">Quels sont les numéros d'ordre des deux principales personnes qui contrôlent le revenu issu de cette vente?                                                                                                                                                    </t>
    </r>
    <r>
      <rPr>
        <i/>
        <sz val="8"/>
        <color indexed="8"/>
        <rFont val="Arial Narrow"/>
        <family val="2"/>
      </rPr>
      <t>(Inscrire le Code Id de ces personnes en utilisant la liste des membres du ménage)</t>
    </r>
    <r>
      <rPr>
        <sz val="9"/>
        <color indexed="8"/>
        <rFont val="Arial Narrow"/>
        <family val="2"/>
      </rPr>
      <t xml:space="preserve">                                                                                                                                                                                                                                                                                                                
</t>
    </r>
  </si>
  <si>
    <t>Qui décide des [..]  qui doivent être abattus dans le ménage?</t>
  </si>
  <si>
    <t xml:space="preserve">Combien de vos [...] avez-vous abattus au cours des 12 derniers mois pour les évenements suivants?
                                                                                                                                                                                                            </t>
  </si>
  <si>
    <t>Quel pourcentage du revenu de la vente de ces […] revient au ménage ?
1 = 100%
2 = 75% (3/4)
3 =  66% (2/3)
4 = 50% (1/2)
5 = 33% (1/3)
6 = 25% (1/4)
7 = 0%</t>
  </si>
  <si>
    <t>Quel est le montant de la vente des 12 derniers mois ?</t>
  </si>
  <si>
    <r>
      <t xml:space="preserve">Quelles sont les deux principales personnes qui contrôlent le revenu issu de cette vente?                                                                                                                                                    </t>
    </r>
    <r>
      <rPr>
        <i/>
        <sz val="8"/>
        <color indexed="8"/>
        <rFont val="Arial Narrow"/>
        <family val="2"/>
      </rPr>
      <t>(Inscrire le Code Id de ces personnes en utilisant la liste des membres du ménage)</t>
    </r>
    <r>
      <rPr>
        <sz val="9"/>
        <color indexed="8"/>
        <rFont val="Arial Narrow"/>
        <family val="2"/>
      </rPr>
      <t xml:space="preserve">                                                                                                                                                                                                                                                                                                                
</t>
    </r>
  </si>
  <si>
    <t xml:space="preserve">Quel est le montant total de ces charges?
</t>
  </si>
  <si>
    <t xml:space="preserve">Quel a été le montant de cette vente ?
</t>
  </si>
  <si>
    <t xml:space="preserve">Combien de [...] ont été exploités en moyenne chaque mois pour la production de lait au cours des 12 derniers mois? </t>
  </si>
  <si>
    <t xml:space="preserve">Pendant combien de mois au cours des 12 derniers mois avez-vous produit du lait de [...] ?                                                                                                                                                                                                           </t>
  </si>
  <si>
    <t xml:space="preserve">Pendant ces mois, quelle a été la quantité moyenne de lait produite par jour?
Code Unité
1=Litre
2=Calebasse
3=Seau
                                                                                                                                                                                                        </t>
  </si>
  <si>
    <t>Durant ces mois, quelle quantité avez-vous donnée au ménage propriétaire de l’animal en moyenne chaque jour?
Code Unité
1=Litre
2=Calebasse
3=Seau</t>
  </si>
  <si>
    <t>Pendant ces mois, quelle est la quantité moyenne  de ce lait vendue chaque jour?
Code Unité
1=Litre
2=Calebasse
3=Seau
Pour l'équivalence des UML, on prend l'équivalence de la quantité totale</t>
  </si>
  <si>
    <t xml:space="preserve">Quel est le montant moyen de la vente de ce lait pour chaque jour?
</t>
  </si>
  <si>
    <t xml:space="preserve">Quelles sont les deux principales personnes qui contrôlent le revenu issu de cette vente?                                                                                                                                                    (Inscrire le Code Id de ces personnes en utilisant la liste des membres du ménage)    </t>
  </si>
  <si>
    <t>Quelle est la quantité moyenne de ce lait transformé chaque jour?
1=Litre
2=Calebasse
3=Seau</t>
  </si>
  <si>
    <t>Quel revenu avez-vous tiré de la production de ces produits au cours des 12 derniers mois?</t>
  </si>
  <si>
    <r>
      <t xml:space="preserve">Quelles sont les deux principales personnes qui contrôlent le revenu issu de cette vente?                                                                                                                                                    </t>
    </r>
    <r>
      <rPr>
        <i/>
        <sz val="8"/>
        <color indexed="8"/>
        <rFont val="Arial Narrow"/>
        <family val="2"/>
      </rPr>
      <t xml:space="preserve">(Inscrire le Code Id de ces personnes en utilisant la liste des membres du ménage) </t>
    </r>
    <r>
      <rPr>
        <sz val="9"/>
        <color indexed="8"/>
        <rFont val="Arial Narrow"/>
        <family val="2"/>
      </rPr>
      <t xml:space="preserve">                                                                                                                                                                                                                                                                                                               
</t>
    </r>
  </si>
  <si>
    <t>Pendant combien de mois avez-vous produit des oeufs au cours des 12 derniers mois?</t>
  </si>
  <si>
    <r>
      <t xml:space="preserve">Pendant ces mois, combien d'oeufs de [...] avez vous produit en moyenne chaque mois au cours des 12 derniers mois?                                                                                                                                                                                                                                                                                                                                                                                                                                                                               
</t>
    </r>
    <r>
      <rPr>
        <i/>
        <sz val="8"/>
        <color indexed="8"/>
        <rFont val="Arial Narrow"/>
        <family val="2"/>
      </rPr>
      <t>(Si Aucun, inscrire 0)</t>
    </r>
  </si>
  <si>
    <t xml:space="preserve">Durant ces mois, quel a été le montant de cette vente en moyenne chaque mois?
</t>
  </si>
  <si>
    <r>
      <t xml:space="preserve">Quelles sont les deux principales personnes qui contrôlent le revenu issu de cette vente?                                                                                                                                                    </t>
    </r>
    <r>
      <rPr>
        <i/>
        <sz val="9"/>
        <color indexed="8"/>
        <rFont val="Arial Narrow"/>
        <family val="2"/>
      </rPr>
      <t>(Inscrire le Code Id de ces personnes en utilisant la liste des membres du ménage)</t>
    </r>
    <r>
      <rPr>
        <sz val="9"/>
        <color indexed="8"/>
        <rFont val="Arial Narrow"/>
        <family val="2"/>
      </rPr>
      <t xml:space="preserve">                                                                                                                                                                                                                                                                                                                
</t>
    </r>
  </si>
  <si>
    <r>
      <t xml:space="preserve">Durant ces mois, quelle quantité d'oeufs avez-vous consommée dans le ménage en moyenne chaque mois?                                                                                                                                     </t>
    </r>
    <r>
      <rPr>
        <i/>
        <sz val="9"/>
        <color indexed="8"/>
        <rFont val="Arial Narrow"/>
        <family val="2"/>
      </rPr>
      <t xml:space="preserve">(Si Aucun, inscrire 0)   </t>
    </r>
    <r>
      <rPr>
        <sz val="9"/>
        <color indexed="8"/>
        <rFont val="Arial Narrow"/>
        <family val="2"/>
      </rPr>
      <t xml:space="preserve">                                                                                                                                     </t>
    </r>
  </si>
  <si>
    <t xml:space="preserve">Pendant combien de mois avez-vous eu à acheter des aliments pour nourrir les  [...] au cours des 12 derniers mois?                                                                                                                                                                                                                      </t>
  </si>
  <si>
    <t xml:space="preserve">Combien avez-vous dépensé en moyenne chaque mois pendant ces mois pour l’achat de ces aliments?
</t>
  </si>
  <si>
    <r>
      <t xml:space="preserve">Quelle est la valeur des aliments utilisés pour nourrir les [...] possédés ou élevés par le ménage que vous avez vous même produit?                                                                                                                                                                                                                                                 </t>
    </r>
    <r>
      <rPr>
        <b/>
        <sz val="9"/>
        <color indexed="8"/>
        <rFont val="Arial Narrow"/>
        <family val="2"/>
      </rPr>
      <t xml:space="preserve">                                                                                                                                                                                                                                                                                                                                                                                                                               
</t>
    </r>
  </si>
  <si>
    <t xml:space="preserve">Pendant combien de mois avez-vous eu à payer de l'eau pour abreuver les  [...] au cours des 12 derniers mois?                                                                                                                                                                                                                      </t>
  </si>
  <si>
    <t xml:space="preserve">Combien avez-vous payé en moyenne chaque mois au cours de ces mois pour abreuver les […] ?                                                                                                                                                                                             </t>
  </si>
  <si>
    <t>Combien avez-vous payé pour vacciner, tout inclus (honoraires, vaccins, etc.) au cours des 12 derniers mois?</t>
  </si>
  <si>
    <t>Combien avez-vous payé pour déparasiter, tout inclus (honoraires, déparasitants) au cours des 12 derniers mois?</t>
  </si>
  <si>
    <t xml:space="preserve">Avez-vous fait soigner  [...] du troupeau au cours des 12 derniers mois?                                              1=Oui
2=Non ►(Espèce suivante) 
                                                                                                                                                                                                                </t>
  </si>
  <si>
    <t>Combien avez-vous payé pour ces soins au cours des 12 derniers mois?</t>
  </si>
  <si>
    <t>Personne 5</t>
  </si>
  <si>
    <t>Propriétaire</t>
  </si>
  <si>
    <t>Bêtes</t>
  </si>
  <si>
    <t>Vente</t>
  </si>
  <si>
    <t>Ramadan</t>
  </si>
  <si>
    <t>Tabaski</t>
  </si>
  <si>
    <t>Noël</t>
  </si>
  <si>
    <t>Pâques</t>
  </si>
  <si>
    <t>Fêtes de fin d'Année</t>
  </si>
  <si>
    <t>Autres fêtes réligieuses</t>
  </si>
  <si>
    <t>Autres cérémonies</t>
  </si>
  <si>
    <t>Autres</t>
  </si>
  <si>
    <t>En espèces</t>
  </si>
  <si>
    <t>En nature</t>
  </si>
  <si>
    <t>Equivalence en litres</t>
  </si>
  <si>
    <t>Personne
 1</t>
  </si>
  <si>
    <t>Personne
 2</t>
  </si>
  <si>
    <t>Personne
1</t>
  </si>
  <si>
    <t>Personne
2</t>
  </si>
  <si>
    <t>Pers. 1</t>
  </si>
  <si>
    <t>Pers. 2</t>
  </si>
  <si>
    <t>Espèces/Catégories</t>
  </si>
  <si>
    <t>NBRE</t>
  </si>
  <si>
    <t xml:space="preserve"> FCFA</t>
  </si>
  <si>
    <t>Code ID</t>
  </si>
  <si>
    <t>Bovins</t>
  </si>
  <si>
    <t>Ovins (Moutons)</t>
  </si>
  <si>
    <t>Caprins (Chèvres)</t>
  </si>
  <si>
    <t>Camelins (Chameaux)</t>
  </si>
  <si>
    <t>Equins (Chevaux)</t>
  </si>
  <si>
    <t>Asins (Anes)</t>
  </si>
  <si>
    <t>Porcins</t>
  </si>
  <si>
    <t>Lapins</t>
  </si>
  <si>
    <t xml:space="preserve">Poules / poulets </t>
  </si>
  <si>
    <t>Pintades</t>
  </si>
  <si>
    <t>Autres volailles</t>
  </si>
  <si>
    <t>SECTION 18: PECHE</t>
  </si>
  <si>
    <t>Inscrivez le code du répondant à cette question?</t>
  </si>
  <si>
    <t>Au cours des 12 derniers mois, est-ce qu’au moins un membre du ménage s’est occupé de pêche, à son</t>
  </si>
  <si>
    <t>Au cours des 12 derniers mois, quelles permis ou licences avez-vous eu  pour pêcher?</t>
  </si>
  <si>
    <t xml:space="preserve"> propre compte ?</t>
  </si>
  <si>
    <t xml:space="preserve"> (Inscrivez jusqu'à trois licences)</t>
  </si>
  <si>
    <t>Permis ou licence 1</t>
  </si>
  <si>
    <t>2 = Non  ►Section 19</t>
  </si>
  <si>
    <t>Permis saisonnier</t>
  </si>
  <si>
    <t>Qui sont les pêcheurs principaux du ménage?</t>
  </si>
  <si>
    <t>Permis spécialisé</t>
  </si>
  <si>
    <t>Permis ou licence 2</t>
  </si>
  <si>
    <t>INS: ajouter d'autres types de permis si cas échéant</t>
  </si>
  <si>
    <t>Où se passe principalement votre activité de pêche ?</t>
  </si>
  <si>
    <t>Permis ou licence 3</t>
  </si>
  <si>
    <t>Mer / océan</t>
  </si>
  <si>
    <t>Rivière (a l’année)</t>
  </si>
  <si>
    <t>Ruisseau (saisonnier)</t>
  </si>
  <si>
    <t>Combien coutent ces permis ou licences?</t>
  </si>
  <si>
    <t>Etang / lac d'eau douce</t>
  </si>
  <si>
    <t>Permis ou licence 1 (FCFA)</t>
  </si>
  <si>
    <t>Marécages d’eau douce</t>
  </si>
  <si>
    <t>Permis ou licence 2 (FCFA)</t>
  </si>
  <si>
    <t>Marécages d’eau salée</t>
  </si>
  <si>
    <t>Permis ou license 3 (FCFA)</t>
  </si>
  <si>
    <t>Au cours des 12 derniers mois, avez vous engagé des personnes non-membre pour votre activité de pêche?</t>
  </si>
  <si>
    <t>Vous pêchez de la plage / depuis la rive / de la berge de rivière ou d’un bateau  ou pirogue?</t>
  </si>
  <si>
    <t xml:space="preserve">De la plage / depuis la rive / de la berge de rivière </t>
  </si>
  <si>
    <t>D’un bateau ou pirogue</t>
  </si>
  <si>
    <t>Au cours des 12 derniers mois, combien avez-vous payé ces personnes? (FCFA)</t>
  </si>
  <si>
    <t>Où est-ce que vous pêchez le plus souvent ?</t>
  </si>
  <si>
    <t>Autour de la communauté</t>
  </si>
  <si>
    <t>Aires joignables en un jour</t>
  </si>
  <si>
    <t>Dans votre pays, joignable en plusieurs jours</t>
  </si>
  <si>
    <t>Dans d’autres pays</t>
  </si>
  <si>
    <t>Au cours des 12 derniers mois, quels mois ont été les mois de saison haute, de saison basse, et pas de pêche ?</t>
  </si>
  <si>
    <t>(Marquez les mois de haute saison avec 1, les mois de basse saison avec 2 et les mois où vous ne pêchez avec 3.)</t>
  </si>
  <si>
    <t>JAN</t>
  </si>
  <si>
    <t>FEV</t>
  </si>
  <si>
    <t>MARS</t>
  </si>
  <si>
    <t>AVRIL</t>
  </si>
  <si>
    <t>MAI</t>
  </si>
  <si>
    <t>JUIN</t>
  </si>
  <si>
    <t>JUILLET</t>
  </si>
  <si>
    <t>AOUT</t>
  </si>
  <si>
    <t>SEP</t>
  </si>
  <si>
    <t>OCT</t>
  </si>
  <si>
    <t>NOV</t>
  </si>
  <si>
    <t>DEC</t>
  </si>
  <si>
    <t>[INS] Enumérer jusqu'à 5 espèces de poissons pêchés le plus fréquemment dans la dernière saison haute</t>
  </si>
  <si>
    <t>Dans la dernière SAISON HAUTE, en moyenne, combien de [ESPÈCES] avez-vous capturé DANS UN MOIS?
[INS] Enumérez les UML possibles pour les poissons</t>
  </si>
  <si>
    <t>Dans la dernière SAISON HAUTE, en moyenne, combien de [ESPÈCES] que vous avez capturé avez-vous consommé / donné comme paiement / utilisé comme intrant de transformation / vendu DANS UN MOIS ?</t>
  </si>
  <si>
    <t>Consommé</t>
  </si>
  <si>
    <t>Paiement</t>
  </si>
  <si>
    <t>Intrant</t>
  </si>
  <si>
    <t>Vendu</t>
  </si>
  <si>
    <t>Espèce</t>
  </si>
  <si>
    <t>Quan</t>
  </si>
  <si>
    <t>Où avez-vous vendu [ESPÈCES] principalement ?</t>
  </si>
  <si>
    <t>A qui avez-vous vendu [ESPÈCES] principalement ?</t>
  </si>
  <si>
    <t>Dans la dernière SAISON HAUTE, en moyenne, combien avez-vous reçu de la vente de [ESPÈCES] DANS UN MOIS?</t>
  </si>
  <si>
    <t>Plage/berge de rivière</t>
  </si>
  <si>
    <t>Consommateurs</t>
  </si>
  <si>
    <t>Marché</t>
  </si>
  <si>
    <t>Commercants</t>
  </si>
  <si>
    <t>Transformateur</t>
  </si>
  <si>
    <t>[INS] Enumérer jusqu'à 5 espèces de poissons pêchés le plus fréquemment dans la dernière saison basse</t>
  </si>
  <si>
    <t>Dans la dernière SAISON BASSE, en moyenne, combien de [ESPÈCES] avez-vous capturé DANS UN MOIS?
[INS] Enumérez les UML possibles pour les poissons</t>
  </si>
  <si>
    <t>Dans la dernière SAISON BASSE, en moyenne, combien de [ESPÈCES] que vous avez capturé avez-vous consommé / donné comme paiement / utilisé comme intrant de transformation / vendu DANS UN MOIS ?</t>
  </si>
  <si>
    <t>Dans la dernière SAISON BASSE, en moyenne, combien avez-vous reçu de la vente de [ESPÈCES] DANS UN MOIS?</t>
  </si>
  <si>
    <t>SECTION 19: EQUIPEMENTS AGRICOLES</t>
  </si>
  <si>
    <t xml:space="preserve">(19.00) Le ménage a-t-il déclaré pratiquer l'agriculture, l'élevage ou la pêche aux sections 16 ou 17 ou section 18?   </t>
  </si>
  <si>
    <t xml:space="preserve">(19.01) Inscrire le numéro du répondant?   </t>
  </si>
  <si>
    <t>Type d’équipements</t>
  </si>
  <si>
    <t>Combien de [...] le ménage possède-t-il?</t>
  </si>
  <si>
    <t xml:space="preserve">Quel est le CODE ID de la (des) personnes qui possèdent ces équipements?
</t>
  </si>
  <si>
    <t xml:space="preserve">Quelle est l’âge du dernier ? </t>
  </si>
  <si>
    <t>Quel est le prix (ou la valeur) d'acquisition du dernier?</t>
  </si>
  <si>
    <t xml:space="preserve">A combien revendrez-vous le dernier de ces articles aujourd’hui ? </t>
  </si>
  <si>
    <t>Quelle somme le ménage a-t-il reçue pour la location de [….]?</t>
  </si>
  <si>
    <t>Le ménage a-t-il utilisé […] qu'il ne possède pas mais a loué auprès d'une coopérative ou d'un autre ménage?
1 = Oui
2 = Non ► Ligne suivante</t>
  </si>
  <si>
    <t>Combien le ménage a-t-il payé pour la location de cet […]?</t>
  </si>
  <si>
    <t>Pers 3</t>
  </si>
  <si>
    <t>LIBELLE</t>
  </si>
  <si>
    <t>Tracteur</t>
  </si>
  <si>
    <t>Pulvériseur</t>
  </si>
  <si>
    <t>Motoculteur</t>
  </si>
  <si>
    <t>Multiculteur</t>
  </si>
  <si>
    <t xml:space="preserve">Charrue </t>
  </si>
  <si>
    <t>Hache/pioche</t>
  </si>
  <si>
    <t>Houe/daba/hilaire</t>
  </si>
  <si>
    <t>Machette</t>
  </si>
  <si>
    <t>Houe asine</t>
  </si>
  <si>
    <t>Semoir</t>
  </si>
  <si>
    <t>Herse</t>
  </si>
  <si>
    <t xml:space="preserve">Animaux de labour </t>
  </si>
  <si>
    <t>Charrettes</t>
  </si>
  <si>
    <t>Ruches</t>
  </si>
  <si>
    <t>Décortiqueuse à riz</t>
  </si>
  <si>
    <t>Egreneuse à maïs</t>
  </si>
  <si>
    <t>Batteuse</t>
  </si>
  <si>
    <t>Groupe moto pompe</t>
  </si>
  <si>
    <t>Pompe manuelle</t>
  </si>
  <si>
    <t>Bascule</t>
  </si>
  <si>
    <t>Botteleuse</t>
  </si>
  <si>
    <t>Hache-Paille</t>
  </si>
  <si>
    <t>Abreuvoir / Mangeoire</t>
  </si>
  <si>
    <t>Faucheuse</t>
  </si>
  <si>
    <t>Moulin</t>
  </si>
  <si>
    <t>Epandeur d'engrais</t>
  </si>
  <si>
    <t>Machine à traire</t>
  </si>
  <si>
    <t>Couveuse</t>
  </si>
  <si>
    <t>Pirogue motorisée</t>
  </si>
  <si>
    <t>Pirogue non-motorisée</t>
  </si>
  <si>
    <t>Filet maillant</t>
  </si>
  <si>
    <t>Senne</t>
  </si>
  <si>
    <t>Epervier</t>
  </si>
  <si>
    <t>Palangre à Hameçon</t>
  </si>
  <si>
    <t>Harpon</t>
  </si>
  <si>
    <t>Autres (à spécifier)</t>
  </si>
  <si>
    <t>Ecrivez le CODE ID du répondant à cette section </t>
  </si>
  <si>
    <t>Partie A: Pauvreté Subjective</t>
  </si>
  <si>
    <t>Pensez-vous que le [INS: mettre votre pays] est un pays pauvre?</t>
  </si>
  <si>
    <t>Etant donné le revenu de votre ménage, vous estimez que vous vivez?</t>
  </si>
  <si>
    <t>Comment vivez-vous par rapport aux gens de la Capitale?</t>
  </si>
  <si>
    <t>Si on vous demande de classer votre propre ménage sur une échelle de bien-être allant de pauvre à riche, comment le classeriez-vous</t>
  </si>
  <si>
    <t>Quel est le montant minimum mensuel nécessaire à votre ménage pour avoir un niveau de vie décent (FCFA) ?</t>
  </si>
  <si>
    <t>Quelles sont les principales charges couvertes par ce montant ? (choix multiple)</t>
  </si>
  <si>
    <t xml:space="preserve">A quel niveau de sécurité vous sentez-vous quand vous marchez seule dans votre quartier/localité après la tombée de la nuit ? </t>
  </si>
  <si>
    <t>Au cours des 12 derniers mois, vous ou un autre membre de votre ménage était-il victime d'une agression ?</t>
  </si>
  <si>
    <t>Combien des personnes membres de votre ménage ont été victime d'une agression ?</t>
  </si>
  <si>
    <t>Quel est le type de la plus récente agression dont vous ou un autre membre de votre ménage était victime au cours des 12 derniers mois ?</t>
  </si>
  <si>
    <t>Cette récente agression était-elle signalée auprès des autorités compétentes (police,gendarmérie, leader communautaire etc.) ?</t>
  </si>
  <si>
    <t>Pour quelle raison principale cette dernière agression n'était-elle pas signalée auprès des autorités compétentes (police,gendarmérie, leader communautaire ect.) ?</t>
  </si>
  <si>
    <t>1. Bien</t>
  </si>
  <si>
    <t>1. Nettement mieux</t>
  </si>
  <si>
    <t>1. Riche</t>
  </si>
  <si>
    <t xml:space="preserve">1. Alimentation
</t>
  </si>
  <si>
    <t>1. Très en sécurité</t>
  </si>
  <si>
    <t>1. Physique</t>
  </si>
  <si>
    <t>1. Pas nécessaire</t>
  </si>
  <si>
    <t>Police</t>
  </si>
  <si>
    <t>Gendarmérie</t>
  </si>
  <si>
    <t>Leader communautaire</t>
  </si>
  <si>
    <t>Leader réligieux</t>
  </si>
  <si>
    <t>2. Assez bien</t>
  </si>
  <si>
    <t>2. Un peu mieux</t>
  </si>
  <si>
    <t>2. Moyen</t>
  </si>
  <si>
    <t>2. Location</t>
  </si>
  <si>
    <t>2. Plutôt en sécurité</t>
  </si>
  <si>
    <t>2. Enlevement</t>
  </si>
  <si>
    <t>2. N'as pas confiance aux autorités</t>
  </si>
  <si>
    <t>3. Ne sait pas</t>
  </si>
  <si>
    <t>3. Passablement</t>
  </si>
  <si>
    <t>3. Pareillement</t>
  </si>
  <si>
    <t>4. Très pauvre</t>
  </si>
  <si>
    <t>3. Education</t>
  </si>
  <si>
    <t>3. Pas très en sécurité</t>
  </si>
  <si>
    <t>3. Braquage/Vole</t>
  </si>
  <si>
    <t>3. Ne connait pas la procédure</t>
  </si>
  <si>
    <t>4. Difficilement</t>
  </si>
  <si>
    <t>4. Moins bien</t>
  </si>
  <si>
    <t>3. Pauvre</t>
  </si>
  <si>
    <t>4. Sante</t>
  </si>
  <si>
    <t>4. Pas du tout en sécurité</t>
  </si>
  <si>
    <t>4. Verbale</t>
  </si>
  <si>
    <t>4. Autre</t>
  </si>
  <si>
    <t>5. Ne sait pas</t>
  </si>
  <si>
    <t>5. Habillement</t>
  </si>
  <si>
    <t>5. Sexuel</t>
  </si>
  <si>
    <t>6 Non-Concerné</t>
  </si>
  <si>
    <t>6. Autre à preciser)</t>
  </si>
  <si>
    <t>6. Autres (à préciser)</t>
  </si>
  <si>
    <t>Liste exhaustive des unités</t>
  </si>
  <si>
    <t>INS: Faire la liste exhaustive des unités utilisées dans le pays</t>
  </si>
  <si>
    <t>Nomenclature des cultures pour la section 16A</t>
  </si>
  <si>
    <t xml:space="preserve">Code </t>
  </si>
  <si>
    <t xml:space="preserve">Libellé </t>
  </si>
  <si>
    <t xml:space="preserve">Mil </t>
  </si>
  <si>
    <t xml:space="preserve">Sésame </t>
  </si>
  <si>
    <t xml:space="preserve">Melon </t>
  </si>
  <si>
    <t xml:space="preserve">Haricot vert </t>
  </si>
  <si>
    <t>Café</t>
  </si>
  <si>
    <t xml:space="preserve">Sorgho </t>
  </si>
  <si>
    <t xml:space="preserve">Manioc </t>
  </si>
  <si>
    <t xml:space="preserve">Pastèque </t>
  </si>
  <si>
    <t xml:space="preserve">Calebassier </t>
  </si>
  <si>
    <t xml:space="preserve">Riz Paddy </t>
  </si>
  <si>
    <t xml:space="preserve">Patate douce </t>
  </si>
  <si>
    <t xml:space="preserve">Laitue </t>
  </si>
  <si>
    <t xml:space="preserve">Radis </t>
  </si>
  <si>
    <t>Palmier à huile</t>
  </si>
  <si>
    <t xml:space="preserve">Maïs </t>
  </si>
  <si>
    <t xml:space="preserve">Pomme de terre </t>
  </si>
  <si>
    <t xml:space="preserve">Chou </t>
  </si>
  <si>
    <t xml:space="preserve">Navet </t>
  </si>
  <si>
    <t>Hévéa</t>
  </si>
  <si>
    <t xml:space="preserve">Souchet </t>
  </si>
  <si>
    <t xml:space="preserve">Poivron </t>
  </si>
  <si>
    <t xml:space="preserve">Tomate </t>
  </si>
  <si>
    <t xml:space="preserve">Poireaux </t>
  </si>
  <si>
    <t>Agrume</t>
  </si>
  <si>
    <t xml:space="preserve">Blé </t>
  </si>
  <si>
    <t xml:space="preserve">Gingembre </t>
  </si>
  <si>
    <t xml:space="preserve">Carotte </t>
  </si>
  <si>
    <t xml:space="preserve">Amarante (Tchapata) </t>
  </si>
  <si>
    <t>Manguier</t>
  </si>
  <si>
    <t xml:space="preserve">Fonio </t>
  </si>
  <si>
    <t xml:space="preserve">Girofle </t>
  </si>
  <si>
    <t xml:space="preserve">Jaxatu </t>
  </si>
  <si>
    <t xml:space="preserve">Coton </t>
  </si>
  <si>
    <t>Anacarde</t>
  </si>
  <si>
    <t xml:space="preserve">Niébé </t>
  </si>
  <si>
    <t xml:space="preserve">Menthe </t>
  </si>
  <si>
    <t xml:space="preserve">Aubergine </t>
  </si>
  <si>
    <t xml:space="preserve">Betterave </t>
  </si>
  <si>
    <t>Autre (à spécifier)</t>
  </si>
  <si>
    <t xml:space="preserve">Voandzou </t>
  </si>
  <si>
    <t xml:space="preserve">Epinard </t>
  </si>
  <si>
    <t xml:space="preserve">Oignon </t>
  </si>
  <si>
    <t xml:space="preserve">Petits pois </t>
  </si>
  <si>
    <t xml:space="preserve">Arachide </t>
  </si>
  <si>
    <t xml:space="preserve">Céleri </t>
  </si>
  <si>
    <t xml:space="preserve">Concombre </t>
  </si>
  <si>
    <t xml:space="preserve">Taro </t>
  </si>
  <si>
    <t xml:space="preserve">Gombo </t>
  </si>
  <si>
    <t xml:space="preserve">Persil </t>
  </si>
  <si>
    <t xml:space="preserve">Courge </t>
  </si>
  <si>
    <t xml:space="preserve">Igname </t>
  </si>
  <si>
    <t xml:space="preserve">Oseille </t>
  </si>
  <si>
    <t xml:space="preserve">Piment </t>
  </si>
  <si>
    <t xml:space="preserve">Ail </t>
  </si>
  <si>
    <t>Cacao</t>
  </si>
  <si>
    <t>Année Scolaire 1</t>
  </si>
  <si>
    <t>Année Scolaire 2</t>
  </si>
  <si>
    <t>Campagne agricole</t>
  </si>
  <si>
    <t>Appellation COVID-19</t>
  </si>
  <si>
    <t>du coronavirus</t>
  </si>
  <si>
    <t>Coronavirus</t>
  </si>
  <si>
    <t>de la COVID-19</t>
  </si>
  <si>
    <t>COVID-19</t>
  </si>
  <si>
    <t>14B.03</t>
  </si>
  <si>
    <t>Votre ménage habite-t-il cette localité depuis moins de 5 ans ? </t>
  </si>
  <si>
    <t>1 = Ménage résident, 2 = Ménage dans un camp de déplacés internes ou de réfugiés ►0.08</t>
  </si>
  <si>
    <t>Etes -vous partis de votre localité précédente à cause de la guerre, de conflits communautaires, de la violence, ou d’une attaque catastrophe naturelle?</t>
  </si>
  <si>
    <t>07D.-</t>
  </si>
  <si>
    <t>07E.-</t>
  </si>
  <si>
    <t>07F1.-</t>
  </si>
  <si>
    <t>07F2.-</t>
  </si>
  <si>
    <t>Au cours des 12 derniers mois, combien avez-vous dépensé en cash pour les frais de congélation, glace? (FCFA)</t>
  </si>
  <si>
    <t>Au cours des 12 derniers mois, combien avez vous dépensé en cash en frais de carburant de pirogues ? (FCFA)</t>
  </si>
  <si>
    <t>Au cours des 12 derniers mois, combien avez vous dépensé en cash en frais d'entretien de pirogues ? (FCFA)</t>
  </si>
  <si>
    <r>
      <t xml:space="preserve">Quel est votre niveau de confiance quant à la capacité de […..] a rendre justice en cas d'agression ou autres péjudices?
</t>
    </r>
    <r>
      <rPr>
        <u/>
        <sz val="9"/>
        <rFont val="Arial Narrow"/>
        <family val="2"/>
      </rPr>
      <t>Code:</t>
    </r>
    <r>
      <rPr>
        <sz val="9"/>
        <rFont val="Arial Narrow"/>
        <family val="2"/>
      </rPr>
      <t xml:space="preserve">
1. Très confiant 
2. Assez confiant          
3. Confiant 
4. Pas confiant 
5. Pas du tout confiant</t>
    </r>
  </si>
  <si>
    <t>Section 20: Pauvreté subjective, Gouvernace, Insécurité</t>
  </si>
  <si>
    <t>01 Envoyé par sa famille pour travailler
02 Est venu avec son parent
03 Suivre/rejoindre sa famille
04 Manque d'emploi
05 Meilleures Opportunités ici
06 Affectation
07 Manque de terres
08 Ecole
09 Mariage
10 Divorce
11 Perte du conjoint
12 Autres problèmes de famille
13 Maladie d'un membre du ménage"
14 Covid-19 
15 Instabilité politique
16 Conflit intercommunautaire
17 Insécurité (banditisme, terrorisme)
18 Conflits armés/guerre
19 Désastres naturels
20 Autres (préciser)</t>
  </si>
  <si>
    <t>Est- ce que [NOM] a effectué dépenses de transport en santé (ambulances, véhicules médicalisés spécialisés, location de taxi)</t>
  </si>
  <si>
    <t>1 Pas encore atteint l'âge limite 
2  Pas de campagne de vaccination 
3 Pas au courant  
4 Pas de structure sanitaire
5 Ne veut pas de vaccin</t>
  </si>
  <si>
    <t>Comment vivez-vous par rapport à vos voisins dans la localité?</t>
  </si>
  <si>
    <t>Les autres membres du ménage</t>
  </si>
  <si>
    <t>Vous personellement</t>
  </si>
  <si>
    <t>Réaliser des projets au niveau local </t>
  </si>
  <si>
    <t>Consulter les citoyens dans la prise de décision</t>
  </si>
  <si>
    <t>Informer les citoyens sur les programmes d'action &amp; les budgets</t>
  </si>
  <si>
    <r>
      <t>Les chefs traditionnels</t>
    </r>
    <r>
      <rPr>
        <b/>
        <sz val="8"/>
        <color rgb="FF000000"/>
        <rFont val="Calibri"/>
        <family val="2"/>
        <charset val="1"/>
      </rPr>
      <t>    </t>
    </r>
  </si>
  <si>
    <t>Les conseillers (élus) communaux  </t>
  </si>
  <si>
    <t>Les députés à l'Assemblée Nationale/Parlement </t>
  </si>
  <si>
    <t>Elections libres et transparentes</t>
  </si>
  <si>
    <t>Handicap</t>
  </si>
  <si>
    <t>Genre/sexe</t>
  </si>
  <si>
    <t>Situation économique (pauvreté)</t>
  </si>
  <si>
    <t>Réligion</t>
  </si>
  <si>
    <t>Origine régionale</t>
  </si>
  <si>
    <t>Ethnicité</t>
  </si>
  <si>
    <t>Avoir un système politique démocratique</t>
  </si>
  <si>
    <t>Que l'armée dirige le pays</t>
  </si>
  <si>
    <t>Absence de discrimination</t>
  </si>
  <si>
    <t>Liberté d'association</t>
  </si>
  <si>
    <t>Liberté de religion</t>
  </si>
  <si>
    <t>Liberté de voyager</t>
  </si>
  <si>
    <t>Liberté politique (choix de son parti)</t>
  </si>
  <si>
    <t>Egalité devant la loi</t>
  </si>
  <si>
    <t>Liberté de la presse (média)</t>
  </si>
  <si>
    <t>Liberté  d'expression</t>
  </si>
  <si>
    <t>Dans quelle mesure la corruption constitue-t-elle un problème pour le pays?</t>
  </si>
  <si>
    <t xml:space="preserve">Les informations fournies sur les politiques et budgets par les autorités centrales aux citoyens sont: </t>
  </si>
  <si>
    <t xml:space="preserve">D'après vous, pensez-vous que les autorités locales ont du pouvoir? </t>
  </si>
  <si>
    <t xml:space="preserve">Pensez-vous que votre conseil local/communal met bien en pratique les actions suivantes: </t>
  </si>
  <si>
    <t xml:space="preserve">Selon vous, les femmes devraient-elles avoir les mêmes chances que les hommes... </t>
  </si>
  <si>
    <t xml:space="preserve">En général, les gens considèrent-ils que les femmes devraient avoir les mêmes chances que les hommes d'être élues à des postes politiques ?                            </t>
  </si>
  <si>
    <t>En général, êtes-vous satisfait de la manière dont fonctionne la démocratie dans [votre pays] ?</t>
  </si>
  <si>
    <t xml:space="preserve">Dans ce pays, les droits de l'homme 
 sont-ils respectés ?  
</t>
  </si>
  <si>
    <t>Section 20: Pauvreté subjective, Gouvernace, Paix et Sécurité</t>
  </si>
  <si>
    <t>Section 20: Pauvreté subjective, Gouvernance, Insécurité</t>
  </si>
  <si>
    <t>20A.00</t>
  </si>
  <si>
    <t>Que ce soient des technocrates, et non des hommes politiques, qui décident ce qui est bon pour le pays</t>
  </si>
  <si>
    <t xml:space="preserve">Avoir à sa tête un homme fort qui n'a pas à se préoccuper du parlement ni des élections  
</t>
  </si>
  <si>
    <t>Pensez-vous que les types de système politique suivants sont souhaitables pour gouverner le pays ?
1. Très bon 2. Plutôt bon 3. Pas vraiment bon 4. Pas bon du tout</t>
  </si>
  <si>
    <r>
      <t>Consulter les chefs traditionnels</t>
    </r>
    <r>
      <rPr>
        <sz val="9"/>
        <color rgb="FF000000"/>
        <rFont val="Arial Narrow"/>
        <family val="2"/>
      </rPr>
      <t>/de la  communauté</t>
    </r>
  </si>
  <si>
    <t>Dans quelle mesure les groupes suivants sont impliqués dans la corruption?
(1.Beaucoup 2. Plutôt  3. Pas vraiment   4. Pas du tout)</t>
  </si>
  <si>
    <t xml:space="preserve">Dans le pays, y a-t-il une organisation anti-corruption? </t>
  </si>
  <si>
    <t xml:space="preserve">D'après vous, le gouvernement est-il efficace dans la lutte contre la corruption ?  </t>
  </si>
  <si>
    <t>Disposez-vous d'assez d'informations sur les efforts du gouvernement dans la lutte anti-corruption ?</t>
  </si>
  <si>
    <t>A: Combien de fois avez-vous dû payer un pot de vin, donner un cadeau à un fonctionnaire, au cours des 12 derniers mois?
B: Dans quel service principal?
C: A quelle occasion principale?
D: Quel est le montant total payé pour la corruption au cours de l'année ?
Si 0 à A, on saute B, C, et D</t>
  </si>
  <si>
    <t>De dire ce que vous pensez</t>
  </si>
  <si>
    <t>D'adhérer à l'organisation politique de votre choix  </t>
  </si>
  <si>
    <t>De choisir pour qui voter sans pression</t>
  </si>
  <si>
    <t>Dans ce pays, vous sentez-vous libre de …: 
CODE:
1.Beaucoup 2. Plutôt 3. Pas vraiment 4. Pas du tout</t>
  </si>
  <si>
    <t xml:space="preserve">Pensez-vous que les politiciens prennent en compte les préoccupations/demandes de la population ?  </t>
  </si>
  <si>
    <t xml:space="preserve">Les fonctionnaires (en général) </t>
  </si>
  <si>
    <t xml:space="preserve">	La police</t>
  </si>
  <si>
    <t>Les agents du fisc (impôt, douanes)</t>
  </si>
  <si>
    <t>Les juges, magistrats, personnels de la justice</t>
  </si>
  <si>
    <t>Le Président</t>
  </si>
  <si>
    <t>Les ministres</t>
  </si>
  <si>
    <t>Les députés/ membre du parlement</t>
  </si>
  <si>
    <t>Les autorités communales</t>
  </si>
  <si>
    <t>Les autorités réligieuses</t>
  </si>
  <si>
    <t>Les leaders/chefs traditionnels</t>
  </si>
  <si>
    <t>Les partis politiques d'opposition</t>
  </si>
  <si>
    <t>Les groupes minoritaires</t>
  </si>
  <si>
    <t xml:space="preserve">Locale (quartier, etc.)  </t>
  </si>
  <si>
    <t xml:space="preserve">	Religieuse</t>
  </si>
  <si>
    <t>Professionnelle</t>
  </si>
  <si>
    <t xml:space="preserve">Familiale/originaire       </t>
  </si>
  <si>
    <t>D'épargne (Tontine, etc.)</t>
  </si>
  <si>
    <t xml:space="preserve">Parti politique                  </t>
  </si>
  <si>
    <t>Autres (à préciser)</t>
  </si>
  <si>
    <t>1 Très
2 Plutôt
3. Pas vraiment
4 Pas du tout</t>
  </si>
  <si>
    <r>
      <t xml:space="preserve">La démocratie est souvent associée aux caractéristiques suivantes.
A) Lesquelles vous semblent essentielles et 
B) sont-elles respectées dans le pays ?
</t>
    </r>
    <r>
      <rPr>
        <u/>
        <sz val="9"/>
        <rFont val="Arial Narrow"/>
        <family val="2"/>
      </rPr>
      <t>CODE:</t>
    </r>
    <r>
      <rPr>
        <sz val="9"/>
        <rFont val="Arial Narrow"/>
        <family val="2"/>
      </rPr>
      <t xml:space="preserve">
1.Complètement 2. Plutôt 3. Pas vraiment 4. Pas du tout</t>
    </r>
  </si>
  <si>
    <r>
      <t xml:space="preserve">Des gens sont parfois discriminés suivant leurs caractéristiques personnelles. 
Dans le pays : 
A) Pensez-vous qu'il y a des discriminations liées à...? 
B) Avez-vous été victime de discrimination due à votre ...?    
</t>
    </r>
    <r>
      <rPr>
        <u/>
        <sz val="9"/>
        <rFont val="Arial Narrow"/>
        <family val="2"/>
      </rPr>
      <t xml:space="preserve">CODE: </t>
    </r>
    <r>
      <rPr>
        <sz val="9"/>
        <rFont val="Arial Narrow"/>
        <family val="2"/>
      </rPr>
      <t xml:space="preserve">(1. Oui     2. Non)  </t>
    </r>
  </si>
  <si>
    <t>1. Oui
2. Non</t>
  </si>
  <si>
    <r>
      <t xml:space="preserve"> Pensez-vous que les personnes suivantes font de leur mieux pour être à votre écoute?
</t>
    </r>
    <r>
      <rPr>
        <u/>
        <sz val="9"/>
        <rFont val="Arial Narrow"/>
        <family val="2"/>
      </rPr>
      <t>CODE</t>
    </r>
    <r>
      <rPr>
        <sz val="9"/>
        <rFont val="Arial Narrow"/>
        <family val="2"/>
      </rPr>
      <t xml:space="preserve">
1.Jamais 2. quelquefois 3. souvent 4. toujours</t>
    </r>
  </si>
  <si>
    <t>1 Beaucoup
2 Plutôt
3. Pas vraiment
4. Pas du tout</t>
  </si>
  <si>
    <t>1. Suffisantes 
2. Insuffisantes 
3. Pas d'information</t>
  </si>
  <si>
    <t>1. Complètement
2. Plutôt
3. Pas vraiment
4. Pas du tout</t>
  </si>
  <si>
    <r>
      <t xml:space="preserve">Une fois élu, pensez-vous que le parti qui gouverne donne de la place (prend en compte) les voix des opposants, des groupes minoritaires:
</t>
    </r>
    <r>
      <rPr>
        <u/>
        <sz val="9"/>
        <rFont val="Arial Narrow"/>
        <family val="2"/>
      </rPr>
      <t>CODE:</t>
    </r>
    <r>
      <rPr>
        <sz val="9"/>
        <rFont val="Arial Narrow"/>
        <family val="2"/>
      </rPr>
      <t xml:space="preserve">
1.Beaucoup 2. Plutôt 3. Pas vraiment 4. Pas du tout</t>
    </r>
  </si>
  <si>
    <r>
      <t xml:space="preserve">Etes-vous membre (dirigeant ou non) d'une association?
</t>
    </r>
    <r>
      <rPr>
        <u/>
        <sz val="9"/>
        <rFont val="Arial Narrow"/>
        <family val="2"/>
      </rPr>
      <t>CODE:</t>
    </r>
    <r>
      <rPr>
        <sz val="9"/>
        <rFont val="Arial Narrow"/>
        <family val="2"/>
      </rPr>
      <t xml:space="preserve">
1. Oui (dirigeant) 2. Oui (membre)  3. Non                  </t>
    </r>
  </si>
  <si>
    <t>1. Beaucoup
2. Plutôt
3. Pas vraiment
4. Pas du tout</t>
  </si>
  <si>
    <t>20C.00</t>
  </si>
  <si>
    <t xml:space="preserve">A. Pour les ménages enquêtés en 2018/2019 : la liste de toutes les personnes vivant dans le ménage lors de la première édition est rapportée. Les nouvelles personnes qui sont arrivées dans le ménage sont ajoutées à la suite. 
B. Pour les nouveaux ménages:  faire la liste de toutes les personnes vivant dans le ménage, qu'elles soient présentes ou absentes au moment de l'enquête. Pour être sûr de ne pas oublier certains individus, faire la liste en suivant l'ordre décrit ci-dessous
</t>
  </si>
  <si>
    <t>CHEF  DE MENAGE</t>
  </si>
  <si>
    <t>ENFANTS DU CM DONT LA MERE NE VIT PAS DANS LE MENAGE</t>
  </si>
  <si>
    <t xml:space="preserve">1ERE EPOUSE SUIVIE DE SES ENFANTS (DU PLUS JEUNE AU PLUS AGE) </t>
  </si>
  <si>
    <t>2EME ÉPOUSE ET SES ENFANTS, 3EME ÉPOUSE ET SES ENFANTS, …</t>
  </si>
  <si>
    <t>FRERES ET SŒURS DU CM</t>
  </si>
  <si>
    <t>PERE, MERE DU CM</t>
  </si>
  <si>
    <t>PETITS FILS ET PETITES FILLES DU CM</t>
  </si>
  <si>
    <t>AUTRES PARENTS DU CM ET/OU DE SES EPOUSES</t>
  </si>
  <si>
    <t>PERSONNES SANS LIEN DE PARENTE AVEC LE CM</t>
  </si>
  <si>
    <t xml:space="preserve">Partie B: Gouvernance </t>
  </si>
  <si>
    <t>20B.00. Ecrivez le CODE ID du répondant à cette section (le répondant est choisi au hasard parmi les individus du ménage agés de plus de 18 ans)</t>
  </si>
  <si>
    <t>8.07a</t>
  </si>
  <si>
    <t>8.08a</t>
  </si>
  <si>
    <t xml:space="preserve">(8.00)  Ecrivez le code ID du principal répondant à la section :    </t>
  </si>
  <si>
    <t>SI L'ON UTILISE UN QUESTIONNAIRE PAPIER, PRENDRE UN AUTRE QUESTIONNAIRE S'IL Y A PLUS DE 15 MEMBRES</t>
  </si>
  <si>
    <t>1 Etait visiteur
2 Mariage
3 Divorce/Séparation
4 Décès (COVID-19)
5 Décès (Autre cause)
6 Poursuivre les études ailleurs dans le pays
7 Affectation ou autre emploi ailleurs dans le pays 
8 Perte de son emploi
9 Chercher du travail ailleurs  dans le pays
10 Migration à.cause du COVID-19
11 Migration dans le pays (santé, famille, etc.) 
12 Poursuivre les études ailleurs à l'étranger 
13 Autre migration pour l'étranger</t>
  </si>
  <si>
    <t>Personne suivante</t>
  </si>
  <si>
    <t xml:space="preserve">ENQUETEUR: 
[NOM] est-il un nouveau membre du ménage ou une personne oubliée lors de l'enquête de 2018/19?
</t>
  </si>
  <si>
    <t>Frais pour creuser et aménager un puits ou pour construire un forage</t>
  </si>
  <si>
    <t>Comment les excréments sont-ils évacués dans le ménage?</t>
  </si>
  <si>
    <t>Quel moyen le ménage utilise-t-il pour se débarrasser des excréments hors de la concession?</t>
  </si>
  <si>
    <t>1=Oui 2=Non ►Section 20A</t>
  </si>
  <si>
    <t>PAUVRETE SUBJECTIVE, GOUVERNANCE, INSECURITE</t>
  </si>
  <si>
    <t>B  Gouvernance</t>
  </si>
  <si>
    <t>A  Pauvreté subjective</t>
  </si>
  <si>
    <t>C   Insécurité</t>
  </si>
  <si>
    <t>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</si>
</sst>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 _F_-;\-* #,##0.00\ _F_-;_-* &quot;-&quot;??\ _F_-;_-@_-"/>
    <numFmt numFmtId="165" formatCode="00"/>
    <numFmt numFmtId="166" formatCode="\(0.00\)"/>
    <numFmt numFmtId="167" formatCode="_-* #,##0.00\ [$€]_-;\-* #,##0.00\ [$€]_-;_-* &quot;-&quot;??\ [$€]_-;_-@_-"/>
  </numFmts>
  <fonts count="119" x14ac:knownFonts="1">
    <font>
      <sz val="10"/>
      <name val="Arial"/>
    </font>
    <font>
      <sz val="10"/>
      <name val="Arial"/>
      <family val="2"/>
    </font>
    <font>
      <sz val="12"/>
      <name val="Arial"/>
      <family val="2"/>
    </font>
    <font>
      <b/>
      <sz val="12"/>
      <name val="Arial"/>
      <family val="2"/>
    </font>
    <font>
      <b/>
      <sz val="10"/>
      <name val="Arial"/>
      <family val="2"/>
    </font>
    <font>
      <sz val="10"/>
      <name val="Arial"/>
      <family val="2"/>
    </font>
    <font>
      <b/>
      <sz val="10"/>
      <name val="Arial Narrow"/>
      <family val="2"/>
    </font>
    <font>
      <sz val="10"/>
      <name val="Arial Narrow"/>
      <family val="2"/>
    </font>
    <font>
      <b/>
      <sz val="8"/>
      <name val="Arial"/>
      <family val="2"/>
    </font>
    <font>
      <b/>
      <sz val="9"/>
      <name val="Arial"/>
      <family val="2"/>
    </font>
    <font>
      <sz val="8"/>
      <name val="Arial Narrow"/>
      <family val="2"/>
    </font>
    <font>
      <b/>
      <sz val="12"/>
      <name val="Arial Narrow"/>
      <family val="2"/>
    </font>
    <font>
      <b/>
      <sz val="8"/>
      <name val="Arial Narrow"/>
      <family val="2"/>
    </font>
    <font>
      <sz val="8"/>
      <name val="Arial"/>
      <family val="2"/>
    </font>
    <font>
      <sz val="12"/>
      <name val="Arial Narrow"/>
      <family val="2"/>
    </font>
    <font>
      <b/>
      <u/>
      <sz val="12"/>
      <name val="Arial Narrow"/>
      <family val="2"/>
    </font>
    <font>
      <u/>
      <sz val="10"/>
      <name val="Arial Narrow"/>
      <family val="2"/>
    </font>
    <font>
      <sz val="10"/>
      <color indexed="8"/>
      <name val="Arial"/>
      <family val="2"/>
    </font>
    <font>
      <sz val="9"/>
      <name val="Arial Narrow"/>
      <family val="2"/>
    </font>
    <font>
      <sz val="9"/>
      <name val="Arial"/>
      <family val="2"/>
    </font>
    <font>
      <b/>
      <u/>
      <sz val="11"/>
      <name val="Arial"/>
      <family val="2"/>
    </font>
    <font>
      <sz val="8"/>
      <name val="Courier New"/>
      <family val="3"/>
    </font>
    <font>
      <b/>
      <sz val="9"/>
      <name val="Arial Narrow"/>
      <family val="2"/>
    </font>
    <font>
      <sz val="10"/>
      <color indexed="55"/>
      <name val="Arial"/>
      <family val="2"/>
    </font>
    <font>
      <b/>
      <i/>
      <sz val="9"/>
      <name val="Arial Narrow"/>
      <family val="2"/>
    </font>
    <font>
      <b/>
      <u/>
      <sz val="9"/>
      <name val="Arial Narrow"/>
      <family val="2"/>
    </font>
    <font>
      <sz val="9"/>
      <color indexed="8"/>
      <name val="Arial"/>
      <family val="2"/>
    </font>
    <font>
      <sz val="9"/>
      <color indexed="8"/>
      <name val="Arial Narrow"/>
      <family val="2"/>
    </font>
    <font>
      <b/>
      <sz val="9"/>
      <color indexed="8"/>
      <name val="Arial Narrow"/>
      <family val="2"/>
    </font>
    <font>
      <sz val="10"/>
      <name val="Arial"/>
      <family val="2"/>
    </font>
    <font>
      <b/>
      <sz val="16"/>
      <name val="Arial Narrow"/>
      <family val="2"/>
    </font>
    <font>
      <i/>
      <sz val="9"/>
      <name val="Arial Narrow"/>
      <family val="2"/>
    </font>
    <font>
      <sz val="10"/>
      <name val="Arial"/>
      <family val="2"/>
    </font>
    <font>
      <i/>
      <sz val="8"/>
      <name val="Arial Narrow"/>
      <family val="2"/>
    </font>
    <font>
      <u/>
      <sz val="9"/>
      <name val="Arial Narrow"/>
      <family val="2"/>
    </font>
    <font>
      <b/>
      <u/>
      <sz val="8"/>
      <name val="Arial Narrow"/>
      <family val="2"/>
    </font>
    <font>
      <i/>
      <sz val="8"/>
      <color indexed="8"/>
      <name val="Arial Narrow"/>
      <family val="2"/>
    </font>
    <font>
      <i/>
      <sz val="9"/>
      <color indexed="8"/>
      <name val="Arial Narrow"/>
      <family val="2"/>
    </font>
    <font>
      <sz val="11"/>
      <name val="Times New Roman"/>
      <family val="1"/>
    </font>
    <font>
      <sz val="11"/>
      <name val="Arial Narrow"/>
      <family val="2"/>
    </font>
    <font>
      <sz val="16"/>
      <name val="Arial"/>
      <family val="2"/>
    </font>
    <font>
      <sz val="16"/>
      <name val="Arial Narrow"/>
      <family val="2"/>
    </font>
    <font>
      <b/>
      <sz val="11"/>
      <name val="Arial Narrow"/>
      <family val="2"/>
    </font>
    <font>
      <b/>
      <sz val="9"/>
      <color indexed="10"/>
      <name val="Arial Narrow"/>
      <family val="2"/>
    </font>
    <font>
      <sz val="9"/>
      <color indexed="10"/>
      <name val="Arial Narrow"/>
      <family val="2"/>
    </font>
    <font>
      <sz val="9"/>
      <color indexed="17"/>
      <name val="Arial Narrow"/>
      <family val="2"/>
    </font>
    <font>
      <b/>
      <i/>
      <sz val="9"/>
      <color indexed="8"/>
      <name val="Arial Narrow"/>
      <family val="2"/>
    </font>
    <font>
      <b/>
      <i/>
      <sz val="8"/>
      <name val="Arial Narrow"/>
      <family val="2"/>
    </font>
    <font>
      <i/>
      <u/>
      <sz val="9"/>
      <name val="Arial Narrow"/>
      <family val="2"/>
    </font>
    <font>
      <sz val="8"/>
      <color indexed="8"/>
      <name val="Arial Narrow"/>
      <family val="2"/>
    </font>
    <font>
      <i/>
      <sz val="8"/>
      <color indexed="17"/>
      <name val="Arial Narrow"/>
      <family val="2"/>
    </font>
    <font>
      <sz val="8"/>
      <color indexed="17"/>
      <name val="Arial Narrow"/>
      <family val="2"/>
    </font>
    <font>
      <sz val="11"/>
      <color theme="1"/>
      <name val="Calibri"/>
      <family val="2"/>
      <scheme val="minor"/>
    </font>
    <font>
      <sz val="10"/>
      <color theme="1"/>
      <name val="Arial"/>
      <family val="2"/>
    </font>
    <font>
      <sz val="10"/>
      <color rgb="FFFF0000"/>
      <name val="Arial Narrow"/>
      <family val="2"/>
    </font>
    <font>
      <sz val="12"/>
      <color rgb="FFFF0000"/>
      <name val="Arial Narrow"/>
      <family val="2"/>
    </font>
    <font>
      <sz val="10"/>
      <color rgb="FFFF0000"/>
      <name val="Arial"/>
      <family val="2"/>
    </font>
    <font>
      <sz val="8"/>
      <color rgb="FFFF0000"/>
      <name val="Arial Narrow"/>
      <family val="2"/>
    </font>
    <font>
      <sz val="9"/>
      <color rgb="FFFF0000"/>
      <name val="Arial Narrow"/>
      <family val="2"/>
    </font>
    <font>
      <sz val="9"/>
      <color theme="1"/>
      <name val="Arial"/>
      <family val="2"/>
    </font>
    <font>
      <sz val="10"/>
      <color theme="1"/>
      <name val="Arial Narrow"/>
      <family val="2"/>
    </font>
    <font>
      <sz val="9"/>
      <color theme="1"/>
      <name val="Arial Narrow"/>
      <family val="2"/>
    </font>
    <font>
      <b/>
      <sz val="9"/>
      <color rgb="FFFF0000"/>
      <name val="Arial Narrow"/>
      <family val="2"/>
    </font>
    <font>
      <b/>
      <sz val="9"/>
      <color rgb="FF000000"/>
      <name val="Arial Narrow"/>
      <family val="2"/>
    </font>
    <font>
      <sz val="8"/>
      <color rgb="FF000000"/>
      <name val="Arial Narrow"/>
      <family val="2"/>
    </font>
    <font>
      <b/>
      <sz val="8"/>
      <color rgb="FF000000"/>
      <name val="Arial Narrow"/>
      <family val="2"/>
    </font>
    <font>
      <sz val="11"/>
      <color theme="1"/>
      <name val="Arial Narrow"/>
      <family val="2"/>
    </font>
    <font>
      <b/>
      <sz val="9"/>
      <color theme="1"/>
      <name val="Arial Narrow"/>
      <family val="2"/>
    </font>
    <font>
      <sz val="9"/>
      <color rgb="FF000000"/>
      <name val="Arial Narrow"/>
      <family val="2"/>
    </font>
    <font>
      <b/>
      <sz val="12"/>
      <color rgb="FFFF0000"/>
      <name val="Arial Narrow"/>
      <family val="2"/>
    </font>
    <font>
      <sz val="12"/>
      <color rgb="FFFF0000"/>
      <name val="Arial"/>
      <family val="2"/>
    </font>
    <font>
      <sz val="8"/>
      <color theme="1"/>
      <name val="Arial Narrow"/>
      <family val="2"/>
    </font>
    <font>
      <sz val="8"/>
      <color rgb="FFFF0000"/>
      <name val="Arial"/>
      <family val="2"/>
    </font>
    <font>
      <sz val="8"/>
      <color rgb="FF222222"/>
      <name val="Arial"/>
      <family val="2"/>
    </font>
    <font>
      <b/>
      <sz val="10"/>
      <color theme="1"/>
      <name val="Arial Narrow"/>
      <family val="2"/>
    </font>
    <font>
      <i/>
      <sz val="9"/>
      <color theme="1"/>
      <name val="Arial Narrow"/>
      <family val="2"/>
    </font>
    <font>
      <b/>
      <sz val="12"/>
      <color theme="1"/>
      <name val="Arial Narrow"/>
      <family val="2"/>
    </font>
    <font>
      <sz val="16"/>
      <color rgb="FFFF0000"/>
      <name val="Arial Narrow"/>
      <family val="2"/>
    </font>
    <font>
      <b/>
      <sz val="10"/>
      <color rgb="FFFF0000"/>
      <name val="Arial"/>
      <family val="2"/>
    </font>
    <font>
      <sz val="9"/>
      <color rgb="FF00B050"/>
      <name val="Arial Narrow"/>
      <family val="2"/>
    </font>
    <font>
      <sz val="8"/>
      <color rgb="FF00B050"/>
      <name val="Arial Narrow"/>
      <family val="2"/>
    </font>
    <font>
      <b/>
      <u/>
      <sz val="9"/>
      <color theme="1"/>
      <name val="Arial Narrow"/>
      <family val="2"/>
    </font>
    <font>
      <b/>
      <sz val="9"/>
      <color rgb="FF00B050"/>
      <name val="Arial Narrow"/>
      <family val="2"/>
    </font>
    <font>
      <sz val="10"/>
      <color rgb="FF00B050"/>
      <name val="Arial"/>
      <family val="2"/>
    </font>
    <font>
      <b/>
      <sz val="9"/>
      <color theme="1"/>
      <name val="Arial"/>
      <family val="2"/>
    </font>
    <font>
      <sz val="9"/>
      <color rgb="FF00B050"/>
      <name val="Arial"/>
      <family val="2"/>
    </font>
    <font>
      <b/>
      <sz val="9"/>
      <color rgb="FF00B050"/>
      <name val="Arial"/>
      <family val="2"/>
    </font>
    <font>
      <sz val="12"/>
      <color rgb="FF00B050"/>
      <name val="Arial"/>
      <family val="2"/>
    </font>
    <font>
      <i/>
      <sz val="9"/>
      <color rgb="FF00B050"/>
      <name val="Arial Narrow"/>
      <family val="2"/>
    </font>
    <font>
      <sz val="12"/>
      <color rgb="FF00B050"/>
      <name val="Arial Narrow"/>
      <family val="2"/>
    </font>
    <font>
      <b/>
      <sz val="8"/>
      <color rgb="FFFF0000"/>
      <name val="Arial"/>
      <family val="2"/>
    </font>
    <font>
      <b/>
      <sz val="14"/>
      <color rgb="FFFF0000"/>
      <name val="Arial"/>
      <family val="2"/>
    </font>
    <font>
      <b/>
      <i/>
      <sz val="9"/>
      <color rgb="FF00B050"/>
      <name val="Arial Narrow"/>
      <family val="2"/>
    </font>
    <font>
      <sz val="8"/>
      <color rgb="FF00B050"/>
      <name val="Arial"/>
      <family val="2"/>
    </font>
    <font>
      <b/>
      <sz val="10"/>
      <color rgb="FF00B050"/>
      <name val="Arial"/>
      <family val="2"/>
    </font>
    <font>
      <b/>
      <sz val="8"/>
      <color theme="1"/>
      <name val="Arial"/>
      <family val="2"/>
    </font>
    <font>
      <sz val="8"/>
      <color theme="1"/>
      <name val="Arial"/>
      <family val="2"/>
    </font>
    <font>
      <b/>
      <sz val="9"/>
      <color rgb="FFED7D31"/>
      <name val="Arial Narrow"/>
      <family val="2"/>
    </font>
    <font>
      <sz val="9"/>
      <color rgb="FFED7D31"/>
      <name val="Arial Narrow"/>
      <family val="2"/>
    </font>
    <font>
      <sz val="10"/>
      <color rgb="FFED7D31"/>
      <name val="Arial Narrow"/>
      <family val="2"/>
    </font>
    <font>
      <sz val="8"/>
      <color rgb="FFED7D31"/>
      <name val="Arial Narrow"/>
      <family val="2"/>
    </font>
    <font>
      <sz val="9"/>
      <color rgb="FFED7D31"/>
      <name val="Arial"/>
      <family val="2"/>
    </font>
    <font>
      <sz val="10"/>
      <color rgb="FFED7D31"/>
      <name val="Arial"/>
      <family val="2"/>
    </font>
    <font>
      <sz val="9"/>
      <color rgb="FF000000"/>
      <name val="Arial Narrow"/>
      <family val="2"/>
    </font>
    <font>
      <sz val="9"/>
      <color rgb="FFED7D31"/>
      <name val="Arial Narrow"/>
      <family val="2"/>
      <charset val="1"/>
    </font>
    <font>
      <sz val="9"/>
      <color rgb="FFC00000"/>
      <name val="Arial Narrow"/>
      <family val="2"/>
    </font>
    <font>
      <sz val="12"/>
      <color rgb="FFED7D31"/>
      <name val="Arial"/>
      <family val="2"/>
    </font>
    <font>
      <b/>
      <sz val="8"/>
      <color rgb="FFED7D31"/>
      <name val="Arial"/>
      <family val="2"/>
    </font>
    <font>
      <sz val="8"/>
      <color rgb="FFED7D31"/>
      <name val="Arial"/>
      <family val="2"/>
    </font>
    <font>
      <sz val="10"/>
      <color rgb="FFED7D31"/>
      <name val="Arial"/>
      <family val="2"/>
    </font>
    <font>
      <b/>
      <sz val="10"/>
      <color rgb="FFED7D31"/>
      <name val="Arial"/>
      <family val="2"/>
    </font>
    <font>
      <sz val="9"/>
      <color rgb="FFED7D31"/>
      <name val="Arial Narrow"/>
      <family val="2"/>
    </font>
    <font>
      <b/>
      <sz val="8"/>
      <color rgb="FFED7D31"/>
      <name val="Arial Narrow"/>
      <family val="2"/>
    </font>
    <font>
      <sz val="9"/>
      <name val="Arial Narrow"/>
      <family val="2"/>
      <charset val="1"/>
    </font>
    <font>
      <b/>
      <sz val="9"/>
      <name val="Arial Narrow"/>
      <family val="2"/>
      <charset val="1"/>
    </font>
    <font>
      <b/>
      <sz val="9"/>
      <color theme="9"/>
      <name val="Arial Narrow"/>
      <family val="2"/>
    </font>
    <font>
      <sz val="9"/>
      <color theme="9"/>
      <name val="Arial Narrow"/>
      <family val="2"/>
    </font>
    <font>
      <sz val="9"/>
      <color rgb="FF000000"/>
      <name val="Arial Narrow"/>
      <family val="2"/>
    </font>
    <font>
      <b/>
      <sz val="8"/>
      <color rgb="FF000000"/>
      <name val="Calibri"/>
      <family val="2"/>
      <charset val="1"/>
    </font>
  </fonts>
  <fills count="12">
    <fill>
      <patternFill patternType="none"/>
    </fill>
    <fill>
      <patternFill patternType="gray125"/>
    </fill>
    <fill>
      <patternFill patternType="solid">
        <fgColor indexed="9"/>
        <bgColor indexed="64"/>
      </patternFill>
    </fill>
    <fill>
      <patternFill patternType="gray0625">
        <fgColor indexed="22"/>
        <bgColor indexed="9"/>
      </patternFill>
    </fill>
    <fill>
      <patternFill patternType="solid">
        <fgColor indexed="6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
      <patternFill patternType="solid">
        <fgColor rgb="FFFFC000"/>
        <bgColor indexed="64"/>
      </patternFill>
    </fill>
    <fill>
      <patternFill patternType="gray0625">
        <fgColor indexed="22"/>
        <bgColor rgb="FFFFC000"/>
      </patternFill>
    </fill>
  </fills>
  <borders count="191">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double">
        <color indexed="64"/>
      </top>
      <bottom style="thin">
        <color indexed="64"/>
      </bottom>
      <diagonal/>
    </border>
    <border>
      <left/>
      <right style="thin">
        <color indexed="64"/>
      </right>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right/>
      <top/>
      <bottom style="medium">
        <color indexed="64"/>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medium">
        <color indexed="64"/>
      </top>
      <bottom/>
      <diagonal/>
    </border>
    <border>
      <left style="double">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right/>
      <top style="double">
        <color indexed="64"/>
      </top>
      <bottom style="thin">
        <color indexed="64"/>
      </bottom>
      <diagonal/>
    </border>
    <border>
      <left style="thin">
        <color indexed="64"/>
      </left>
      <right style="double">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style="thin">
        <color indexed="64"/>
      </right>
      <top style="thin">
        <color indexed="8"/>
      </top>
      <bottom style="double">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right style="medium">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bottom style="double">
        <color indexed="64"/>
      </bottom>
      <diagonal/>
    </border>
    <border>
      <left/>
      <right style="thin">
        <color indexed="64"/>
      </right>
      <top style="thin">
        <color indexed="8"/>
      </top>
      <bottom style="thin">
        <color indexed="8"/>
      </bottom>
      <diagonal/>
    </border>
    <border>
      <left style="thin">
        <color indexed="64"/>
      </left>
      <right/>
      <top style="double">
        <color indexed="64"/>
      </top>
      <bottom/>
      <diagonal/>
    </border>
    <border>
      <left/>
      <right style="thin">
        <color indexed="64"/>
      </right>
      <top/>
      <bottom style="thin">
        <color indexed="8"/>
      </bottom>
      <diagonal/>
    </border>
    <border>
      <left/>
      <right style="thin">
        <color indexed="64"/>
      </right>
      <top style="thin">
        <color indexed="8"/>
      </top>
      <bottom/>
      <diagonal/>
    </border>
    <border>
      <left style="medium">
        <color indexed="64"/>
      </left>
      <right style="double">
        <color indexed="64"/>
      </right>
      <top/>
      <bottom style="thin">
        <color indexed="8"/>
      </bottom>
      <diagonal/>
    </border>
    <border>
      <left style="double">
        <color indexed="8"/>
      </left>
      <right style="thin">
        <color indexed="64"/>
      </right>
      <top style="thin">
        <color indexed="8"/>
      </top>
      <bottom style="thin">
        <color indexed="8"/>
      </bottom>
      <diagonal/>
    </border>
    <border>
      <left style="double">
        <color indexed="64"/>
      </left>
      <right style="thin">
        <color indexed="64"/>
      </right>
      <top style="thin">
        <color indexed="64"/>
      </top>
      <bottom style="thin">
        <color indexed="8"/>
      </bottom>
      <diagonal/>
    </border>
    <border>
      <left style="double">
        <color indexed="64"/>
      </left>
      <right style="thin">
        <color indexed="64"/>
      </right>
      <top style="thin">
        <color indexed="8"/>
      </top>
      <bottom style="thin">
        <color indexed="8"/>
      </bottom>
      <diagonal/>
    </border>
    <border>
      <left style="double">
        <color indexed="64"/>
      </left>
      <right style="thin">
        <color indexed="64"/>
      </right>
      <top style="thin">
        <color indexed="8"/>
      </top>
      <bottom style="thin">
        <color indexed="64"/>
      </bottom>
      <diagonal/>
    </border>
    <border>
      <left style="double">
        <color indexed="64"/>
      </left>
      <right style="double">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double">
        <color indexed="64"/>
      </left>
      <right style="thin">
        <color indexed="64"/>
      </right>
      <top/>
      <bottom style="double">
        <color indexed="64"/>
      </bottom>
      <diagonal/>
    </border>
    <border>
      <left/>
      <right style="double">
        <color indexed="64"/>
      </right>
      <top style="thin">
        <color indexed="64"/>
      </top>
      <bottom style="thin">
        <color indexed="64"/>
      </bottom>
      <diagonal/>
    </border>
    <border>
      <left style="thin">
        <color indexed="8"/>
      </left>
      <right style="thin">
        <color indexed="64"/>
      </right>
      <top style="thin">
        <color indexed="8"/>
      </top>
      <bottom/>
      <diagonal/>
    </border>
    <border>
      <left style="double">
        <color indexed="64"/>
      </left>
      <right style="thin">
        <color indexed="8"/>
      </right>
      <top style="thin">
        <color indexed="8"/>
      </top>
      <bottom/>
      <diagonal/>
    </border>
    <border>
      <left style="medium">
        <color indexed="64"/>
      </left>
      <right/>
      <top style="medium">
        <color indexed="64"/>
      </top>
      <bottom/>
      <diagonal/>
    </border>
    <border>
      <left/>
      <right style="thin">
        <color indexed="64"/>
      </right>
      <top style="thin">
        <color indexed="8"/>
      </top>
      <bottom style="thin">
        <color indexed="64"/>
      </bottom>
      <diagonal/>
    </border>
    <border>
      <left style="thin">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style="thin">
        <color indexed="64"/>
      </left>
      <right style="thin">
        <color indexed="64"/>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indexed="64"/>
      </bottom>
      <diagonal/>
    </border>
    <border>
      <left style="thin">
        <color rgb="FF000000"/>
      </left>
      <right style="thin">
        <color rgb="FF000000"/>
      </right>
      <top/>
      <bottom style="double">
        <color rgb="FF000000"/>
      </bottom>
      <diagonal/>
    </border>
    <border>
      <left style="thin">
        <color rgb="FF000000"/>
      </left>
      <right style="thin">
        <color rgb="FF000000"/>
      </right>
      <top style="thin">
        <color indexed="64"/>
      </top>
      <bottom style="double">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diagonal/>
    </border>
    <border>
      <left style="thin">
        <color rgb="FF000000"/>
      </left>
      <right style="thin">
        <color indexed="64"/>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indexed="64"/>
      </left>
      <right style="thin">
        <color indexed="64"/>
      </right>
      <top style="thin">
        <color indexed="8"/>
      </top>
      <bottom/>
      <diagonal/>
    </border>
    <border>
      <left/>
      <right style="thin">
        <color rgb="FF000000"/>
      </right>
      <top style="thin">
        <color rgb="FF000000"/>
      </top>
      <bottom style="thin">
        <color rgb="FF000000"/>
      </bottom>
      <diagonal/>
    </border>
    <border>
      <left style="thin">
        <color indexed="64"/>
      </left>
      <right style="thin">
        <color rgb="FF000000"/>
      </right>
      <top style="thin">
        <color indexed="64"/>
      </top>
      <bottom style="double">
        <color indexed="64"/>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double">
        <color indexed="64"/>
      </bottom>
      <diagonal/>
    </border>
    <border>
      <left/>
      <right style="thin">
        <color rgb="FF000000"/>
      </right>
      <top/>
      <bottom style="double">
        <color rgb="FF000000"/>
      </bottom>
      <diagonal/>
    </border>
    <border>
      <left/>
      <right style="thin">
        <color indexed="64"/>
      </right>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
      <left style="thin">
        <color rgb="FF000000"/>
      </left>
      <right style="double">
        <color indexed="64"/>
      </right>
      <top/>
      <bottom style="double">
        <color indexed="64"/>
      </bottom>
      <diagonal/>
    </border>
    <border>
      <left/>
      <right style="thin">
        <color rgb="FF000000"/>
      </right>
      <top/>
      <bottom style="thin">
        <color indexed="64"/>
      </bottom>
      <diagonal/>
    </border>
    <border>
      <left style="thin">
        <color indexed="64"/>
      </left>
      <right style="thin">
        <color rgb="FF000000"/>
      </right>
      <top/>
      <bottom style="thin">
        <color indexed="64"/>
      </bottom>
      <diagonal/>
    </border>
    <border>
      <left/>
      <right style="double">
        <color indexed="64"/>
      </right>
      <top style="thin">
        <color indexed="64"/>
      </top>
      <bottom/>
      <diagonal/>
    </border>
    <border>
      <left/>
      <right style="double">
        <color indexed="64"/>
      </right>
      <top/>
      <bottom/>
      <diagonal/>
    </border>
    <border>
      <left style="thin">
        <color rgb="FF000000"/>
      </left>
      <right/>
      <top/>
      <bottom style="double">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indexed="64"/>
      </right>
      <top style="thin">
        <color indexed="64"/>
      </top>
      <bottom/>
      <diagonal/>
    </border>
    <border>
      <left style="thin">
        <color rgb="FF000000"/>
      </left>
      <right/>
      <top style="thin">
        <color indexed="64"/>
      </top>
      <bottom style="double">
        <color indexed="64"/>
      </bottom>
      <diagonal/>
    </border>
    <border>
      <left/>
      <right style="thin">
        <color rgb="FF000000"/>
      </right>
      <top style="thin">
        <color indexed="64"/>
      </top>
      <bottom style="double">
        <color rgb="FF000000"/>
      </bottom>
      <diagonal/>
    </border>
    <border>
      <left/>
      <right style="thin">
        <color rgb="FF000000"/>
      </right>
      <top/>
      <bottom style="double">
        <color indexed="64"/>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right style="thin">
        <color rgb="FF000000"/>
      </right>
      <top style="thin">
        <color indexed="64"/>
      </top>
      <bottom style="double">
        <color indexed="64"/>
      </bottom>
      <diagonal/>
    </border>
    <border>
      <left style="thin">
        <color indexed="64"/>
      </left>
      <right style="thin">
        <color rgb="FF000000"/>
      </right>
      <top style="double">
        <color indexed="64"/>
      </top>
      <bottom/>
      <diagonal/>
    </border>
    <border>
      <left style="thin">
        <color rgb="FF000000"/>
      </left>
      <right/>
      <top/>
      <bottom style="double">
        <color indexed="64"/>
      </bottom>
      <diagonal/>
    </border>
    <border>
      <left style="thin">
        <color rgb="FF000000"/>
      </left>
      <right style="thin">
        <color indexed="64"/>
      </right>
      <top/>
      <bottom style="double">
        <color indexed="64"/>
      </bottom>
      <diagonal/>
    </border>
    <border>
      <left style="thin">
        <color rgb="FF000000"/>
      </left>
      <right style="thin">
        <color indexed="64"/>
      </right>
      <top style="double">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style="thin">
        <color indexed="64"/>
      </left>
      <right/>
      <top/>
      <bottom style="thin">
        <color indexed="64"/>
      </bottom>
      <diagonal/>
    </border>
    <border>
      <left style="thin">
        <color rgb="FF000000"/>
      </left>
      <right style="thin">
        <color rgb="FF000000"/>
      </right>
      <top style="double">
        <color indexed="64"/>
      </top>
      <bottom/>
      <diagonal/>
    </border>
    <border>
      <left style="thin">
        <color rgb="FF000000"/>
      </left>
      <right/>
      <top style="double">
        <color indexed="64"/>
      </top>
      <bottom/>
      <diagonal/>
    </border>
    <border>
      <left style="thin">
        <color rgb="FF000000"/>
      </left>
      <right style="thin">
        <color rgb="FF000000"/>
      </right>
      <top/>
      <bottom style="double">
        <color indexed="64"/>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double">
        <color indexed="64"/>
      </bottom>
      <diagonal/>
    </border>
    <border>
      <left style="thin">
        <color indexed="64"/>
      </left>
      <right style="thin">
        <color indexed="64"/>
      </right>
      <top style="thin">
        <color rgb="FF000000"/>
      </top>
      <bottom style="double">
        <color indexed="64"/>
      </bottom>
      <diagonal/>
    </border>
    <border>
      <left/>
      <right/>
      <top style="thin">
        <color indexed="64"/>
      </top>
      <bottom style="thin">
        <color indexed="64"/>
      </bottom>
      <diagonal/>
    </border>
    <border>
      <left style="thin">
        <color indexed="64"/>
      </left>
      <right/>
      <top style="thin">
        <color rgb="FF000000"/>
      </top>
      <bottom/>
      <diagonal/>
    </border>
    <border>
      <left/>
      <right style="thin">
        <color auto="1"/>
      </right>
      <top style="thin">
        <color auto="1"/>
      </top>
      <bottom style="thin">
        <color rgb="FF000000"/>
      </bottom>
      <diagonal/>
    </border>
    <border>
      <left style="thin">
        <color rgb="FF000000"/>
      </left>
      <right style="thin">
        <color indexed="64"/>
      </right>
      <top style="thin">
        <color rgb="FF000000"/>
      </top>
      <bottom style="double">
        <color indexed="64"/>
      </bottom>
      <diagonal/>
    </border>
    <border>
      <left style="thin">
        <color indexed="64"/>
      </left>
      <right/>
      <top style="thin">
        <color rgb="FF000000"/>
      </top>
      <bottom style="double">
        <color indexed="64"/>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style="thin">
        <color rgb="FF000000"/>
      </left>
      <right/>
      <top style="thin">
        <color indexed="64"/>
      </top>
      <bottom style="thin">
        <color rgb="FF000000"/>
      </bottom>
      <diagonal/>
    </border>
    <border>
      <left/>
      <right/>
      <top style="thin">
        <color rgb="FF000000"/>
      </top>
      <bottom style="double">
        <color indexed="64"/>
      </bottom>
      <diagonal/>
    </border>
    <border>
      <left/>
      <right style="thin">
        <color indexed="64"/>
      </right>
      <top style="thin">
        <color rgb="FF000000"/>
      </top>
      <bottom style="double">
        <color indexed="64"/>
      </bottom>
      <diagonal/>
    </border>
  </borders>
  <cellStyleXfs count="19">
    <xf numFmtId="0" fontId="0" fillId="0" borderId="0"/>
    <xf numFmtId="0" fontId="21" fillId="0" borderId="0" applyNumberFormat="0" applyFill="0" applyBorder="0" applyProtection="0">
      <alignment vertical="center"/>
    </xf>
    <xf numFmtId="164" fontId="1" fillId="0" borderId="0" applyFont="0" applyFill="0" applyBorder="0" applyAlignment="0" applyProtection="0"/>
    <xf numFmtId="43" fontId="17" fillId="0" borderId="0" applyFont="0" applyFill="0" applyBorder="0" applyAlignment="0" applyProtection="0"/>
    <xf numFmtId="164" fontId="29" fillId="0" borderId="0" applyFont="0" applyFill="0" applyBorder="0" applyAlignment="0" applyProtection="0"/>
    <xf numFmtId="164" fontId="32" fillId="0" borderId="0" applyFont="0" applyFill="0" applyBorder="0" applyAlignment="0" applyProtection="0"/>
    <xf numFmtId="164" fontId="5" fillId="0" borderId="0" applyFont="0" applyFill="0" applyBorder="0" applyAlignment="0" applyProtection="0"/>
    <xf numFmtId="167" fontId="1" fillId="0" borderId="0" applyFont="0" applyFill="0" applyBorder="0" applyAlignment="0" applyProtection="0"/>
    <xf numFmtId="167" fontId="29" fillId="0" borderId="0" applyFont="0" applyFill="0" applyBorder="0" applyAlignment="0" applyProtection="0"/>
    <xf numFmtId="0" fontId="20" fillId="0" borderId="0" applyNumberFormat="0" applyFill="0" applyBorder="0" applyProtection="0">
      <alignment horizontal="left"/>
    </xf>
    <xf numFmtId="0" fontId="53" fillId="0" borderId="0"/>
    <xf numFmtId="0" fontId="5" fillId="0" borderId="0"/>
    <xf numFmtId="0" fontId="52" fillId="0" borderId="0"/>
    <xf numFmtId="0" fontId="5" fillId="0" borderId="0"/>
    <xf numFmtId="0" fontId="5" fillId="0" borderId="0"/>
    <xf numFmtId="0" fontId="10" fillId="0" borderId="0"/>
    <xf numFmtId="0" fontId="13" fillId="0" borderId="0"/>
    <xf numFmtId="0" fontId="2" fillId="0" borderId="0"/>
    <xf numFmtId="0" fontId="19" fillId="0" borderId="0" applyNumberFormat="0" applyFill="0" applyBorder="0" applyProtection="0">
      <alignment vertical="top" wrapText="1"/>
    </xf>
  </cellStyleXfs>
  <cellXfs count="3865">
    <xf numFmtId="0" fontId="0" fillId="0" borderId="0" xfId="0"/>
    <xf numFmtId="0" fontId="2" fillId="0" borderId="0" xfId="17"/>
    <xf numFmtId="0" fontId="7" fillId="2" borderId="0" xfId="17" applyFont="1" applyFill="1"/>
    <xf numFmtId="0" fontId="7" fillId="0" borderId="0" xfId="0" applyFont="1"/>
    <xf numFmtId="0" fontId="7" fillId="2" borderId="0" xfId="17" applyFont="1" applyFill="1" applyBorder="1"/>
    <xf numFmtId="0" fontId="0" fillId="0" borderId="0" xfId="0" applyBorder="1"/>
    <xf numFmtId="0" fontId="2" fillId="0" borderId="0" xfId="17" applyFont="1"/>
    <xf numFmtId="0" fontId="7" fillId="2" borderId="0" xfId="17" applyFont="1" applyFill="1" applyBorder="1" applyAlignment="1"/>
    <xf numFmtId="0" fontId="7" fillId="2" borderId="0" xfId="17" applyFont="1" applyFill="1" applyBorder="1" applyAlignment="1">
      <alignment horizontal="left"/>
    </xf>
    <xf numFmtId="0" fontId="6" fillId="2" borderId="0" xfId="17" applyFont="1" applyFill="1" applyBorder="1"/>
    <xf numFmtId="0" fontId="5" fillId="0" borderId="0" xfId="0" applyFont="1"/>
    <xf numFmtId="0" fontId="22" fillId="2" borderId="0" xfId="17" applyFont="1" applyFill="1" applyBorder="1" applyAlignment="1">
      <alignment horizontal="left" vertical="center"/>
    </xf>
    <xf numFmtId="0" fontId="6" fillId="2" borderId="0" xfId="17" applyFont="1" applyFill="1" applyBorder="1" applyAlignment="1">
      <alignment horizontal="left" vertical="center"/>
    </xf>
    <xf numFmtId="0" fontId="19" fillId="0" borderId="2" xfId="0" applyFont="1" applyBorder="1" applyAlignment="1">
      <alignment vertical="top"/>
    </xf>
    <xf numFmtId="0" fontId="19" fillId="0" borderId="2" xfId="0" applyFont="1" applyBorder="1" applyAlignment="1">
      <alignment vertical="top" wrapText="1"/>
    </xf>
    <xf numFmtId="0" fontId="18" fillId="2" borderId="0" xfId="17" applyFont="1" applyFill="1"/>
    <xf numFmtId="0" fontId="18" fillId="2" borderId="0" xfId="17" applyFont="1" applyFill="1" applyBorder="1" applyAlignment="1">
      <alignment vertical="top"/>
    </xf>
    <xf numFmtId="0" fontId="19" fillId="0" borderId="3" xfId="0" applyFont="1" applyBorder="1" applyAlignment="1">
      <alignment vertical="top"/>
    </xf>
    <xf numFmtId="0" fontId="7" fillId="2" borderId="0" xfId="17" applyFont="1" applyFill="1" applyAlignment="1">
      <alignment horizontal="left"/>
    </xf>
    <xf numFmtId="0" fontId="10" fillId="2" borderId="4" xfId="17" applyFont="1" applyFill="1" applyBorder="1" applyAlignment="1">
      <alignment vertical="center"/>
    </xf>
    <xf numFmtId="0" fontId="10" fillId="3" borderId="4" xfId="17" applyFont="1" applyFill="1" applyBorder="1" applyAlignment="1">
      <alignment vertical="center"/>
    </xf>
    <xf numFmtId="0" fontId="10" fillId="2" borderId="4" xfId="17" applyFont="1" applyFill="1" applyBorder="1" applyAlignment="1">
      <alignment horizontal="left" vertical="center"/>
    </xf>
    <xf numFmtId="0" fontId="10" fillId="0" borderId="4" xfId="17" applyFont="1" applyFill="1" applyBorder="1" applyAlignment="1">
      <alignment vertical="center"/>
    </xf>
    <xf numFmtId="0" fontId="10" fillId="0" borderId="5" xfId="17" applyFont="1" applyFill="1" applyBorder="1" applyAlignment="1">
      <alignment vertical="center"/>
    </xf>
    <xf numFmtId="0" fontId="10" fillId="0" borderId="4" xfId="17" applyFont="1" applyFill="1" applyBorder="1" applyAlignment="1">
      <alignment horizontal="left" vertical="center"/>
    </xf>
    <xf numFmtId="0" fontId="10" fillId="2" borderId="6" xfId="17" applyFont="1" applyFill="1" applyBorder="1" applyAlignment="1">
      <alignment vertical="center"/>
    </xf>
    <xf numFmtId="0" fontId="10" fillId="3" borderId="6" xfId="17" applyFont="1" applyFill="1" applyBorder="1" applyAlignment="1">
      <alignment vertical="center"/>
    </xf>
    <xf numFmtId="0" fontId="10" fillId="2" borderId="6" xfId="17" applyFont="1" applyFill="1" applyBorder="1" applyAlignment="1">
      <alignment horizontal="left" vertical="center"/>
    </xf>
    <xf numFmtId="0" fontId="10" fillId="2" borderId="7" xfId="17" quotePrefix="1" applyFont="1" applyFill="1" applyBorder="1" applyAlignment="1">
      <alignment horizontal="center" vertical="center"/>
    </xf>
    <xf numFmtId="0" fontId="10" fillId="2" borderId="7" xfId="17" applyFont="1" applyFill="1" applyBorder="1" applyAlignment="1">
      <alignment vertical="center"/>
    </xf>
    <xf numFmtId="0" fontId="10" fillId="3" borderId="7" xfId="17" applyFont="1" applyFill="1" applyBorder="1" applyAlignment="1">
      <alignment vertical="center"/>
    </xf>
    <xf numFmtId="0" fontId="10" fillId="2" borderId="7" xfId="17" applyFont="1" applyFill="1" applyBorder="1" applyAlignment="1">
      <alignment horizontal="left" vertical="center"/>
    </xf>
    <xf numFmtId="0" fontId="22" fillId="2" borderId="8" xfId="17" applyFont="1" applyFill="1" applyBorder="1" applyAlignment="1">
      <alignment horizontal="center" vertical="top"/>
    </xf>
    <xf numFmtId="166" fontId="22" fillId="2" borderId="9" xfId="17" applyNumberFormat="1" applyFont="1" applyFill="1" applyBorder="1" applyAlignment="1">
      <alignment horizontal="left" vertical="top"/>
    </xf>
    <xf numFmtId="0" fontId="18" fillId="2" borderId="3" xfId="17" applyFont="1" applyFill="1" applyBorder="1" applyAlignment="1">
      <alignment vertical="top"/>
    </xf>
    <xf numFmtId="0" fontId="18" fillId="0" borderId="2" xfId="17" applyFont="1" applyFill="1" applyBorder="1" applyAlignment="1">
      <alignment vertical="top"/>
    </xf>
    <xf numFmtId="0" fontId="18" fillId="2" borderId="0" xfId="0" applyFont="1" applyFill="1" applyBorder="1" applyAlignment="1">
      <alignment vertical="top"/>
    </xf>
    <xf numFmtId="0" fontId="18" fillId="0" borderId="3" xfId="17" applyFont="1" applyFill="1" applyBorder="1" applyAlignment="1">
      <alignment vertical="top"/>
    </xf>
    <xf numFmtId="0" fontId="18" fillId="2" borderId="0" xfId="0" applyFont="1" applyFill="1" applyBorder="1" applyAlignment="1">
      <alignment vertical="top" wrapText="1"/>
    </xf>
    <xf numFmtId="166" fontId="18" fillId="2" borderId="3" xfId="17" applyNumberFormat="1" applyFont="1" applyFill="1" applyBorder="1" applyAlignment="1">
      <alignment horizontal="left" vertical="top"/>
    </xf>
    <xf numFmtId="0" fontId="22" fillId="3" borderId="8" xfId="17" applyFont="1" applyFill="1" applyBorder="1" applyAlignment="1">
      <alignment horizontal="center" vertical="top"/>
    </xf>
    <xf numFmtId="0" fontId="22" fillId="3" borderId="10" xfId="17" applyFont="1" applyFill="1" applyBorder="1" applyAlignment="1">
      <alignment horizontal="center" vertical="top"/>
    </xf>
    <xf numFmtId="0" fontId="22" fillId="2" borderId="9" xfId="17" applyFont="1" applyFill="1" applyBorder="1" applyAlignment="1">
      <alignment horizontal="center" vertical="top"/>
    </xf>
    <xf numFmtId="166" fontId="22" fillId="2" borderId="10" xfId="17" applyNumberFormat="1" applyFont="1" applyFill="1" applyBorder="1" applyAlignment="1">
      <alignment horizontal="left" vertical="top"/>
    </xf>
    <xf numFmtId="0" fontId="18" fillId="3" borderId="2" xfId="17" applyFont="1" applyFill="1" applyBorder="1" applyAlignment="1">
      <alignment vertical="top"/>
    </xf>
    <xf numFmtId="0" fontId="22" fillId="2" borderId="10" xfId="17" applyFont="1" applyFill="1" applyBorder="1" applyAlignment="1">
      <alignment horizontal="center" vertical="top"/>
    </xf>
    <xf numFmtId="0" fontId="10" fillId="3" borderId="11" xfId="17" applyFont="1" applyFill="1" applyBorder="1" applyAlignment="1">
      <alignment vertical="center"/>
    </xf>
    <xf numFmtId="0" fontId="10" fillId="3" borderId="12" xfId="17" applyFont="1" applyFill="1" applyBorder="1" applyAlignment="1">
      <alignment vertical="center"/>
    </xf>
    <xf numFmtId="0" fontId="10" fillId="3" borderId="5" xfId="17" applyFont="1" applyFill="1" applyBorder="1" applyAlignment="1">
      <alignment vertical="center"/>
    </xf>
    <xf numFmtId="0" fontId="10" fillId="2" borderId="8" xfId="17" applyFont="1" applyFill="1" applyBorder="1" applyAlignment="1">
      <alignment vertical="center"/>
    </xf>
    <xf numFmtId="0" fontId="10" fillId="3" borderId="10" xfId="17" applyFont="1" applyFill="1" applyBorder="1" applyAlignment="1">
      <alignment vertical="center"/>
    </xf>
    <xf numFmtId="0" fontId="10" fillId="3" borderId="8" xfId="17" applyFont="1" applyFill="1" applyBorder="1" applyAlignment="1">
      <alignment vertical="center"/>
    </xf>
    <xf numFmtId="0" fontId="10" fillId="2" borderId="8" xfId="17" applyFont="1" applyFill="1" applyBorder="1" applyAlignment="1">
      <alignment horizontal="left" vertical="center"/>
    </xf>
    <xf numFmtId="0" fontId="10" fillId="0" borderId="7" xfId="17" applyFont="1" applyFill="1" applyBorder="1" applyAlignment="1">
      <alignment vertical="center"/>
    </xf>
    <xf numFmtId="0" fontId="10" fillId="0" borderId="11" xfId="17" applyFont="1" applyFill="1" applyBorder="1" applyAlignment="1">
      <alignment vertical="center"/>
    </xf>
    <xf numFmtId="0" fontId="10" fillId="0" borderId="7" xfId="17" quotePrefix="1" applyFont="1" applyFill="1" applyBorder="1" applyAlignment="1">
      <alignment horizontal="center" vertical="center"/>
    </xf>
    <xf numFmtId="0" fontId="10" fillId="0" borderId="8" xfId="17" applyFont="1" applyFill="1" applyBorder="1" applyAlignment="1">
      <alignment vertical="center"/>
    </xf>
    <xf numFmtId="0" fontId="10" fillId="0" borderId="10" xfId="17" applyFont="1" applyFill="1" applyBorder="1" applyAlignment="1">
      <alignment vertical="center"/>
    </xf>
    <xf numFmtId="0" fontId="18" fillId="0" borderId="3" xfId="17" applyFont="1" applyFill="1" applyBorder="1" applyAlignment="1"/>
    <xf numFmtId="165" fontId="22" fillId="0" borderId="13" xfId="15" applyNumberFormat="1" applyFont="1" applyBorder="1" applyAlignment="1">
      <alignment horizontal="center" vertical="center"/>
    </xf>
    <xf numFmtId="165" fontId="22" fillId="0" borderId="14" xfId="15" applyNumberFormat="1" applyFont="1" applyBorder="1" applyAlignment="1">
      <alignment horizontal="center" vertical="center"/>
    </xf>
    <xf numFmtId="165" fontId="22" fillId="0" borderId="15" xfId="15" applyNumberFormat="1" applyFont="1" applyBorder="1" applyAlignment="1">
      <alignment horizontal="center" vertical="center"/>
    </xf>
    <xf numFmtId="165" fontId="22" fillId="0" borderId="16" xfId="15" applyNumberFormat="1" applyFont="1" applyBorder="1" applyAlignment="1">
      <alignment horizontal="center" vertical="center"/>
    </xf>
    <xf numFmtId="165" fontId="22" fillId="0" borderId="13" xfId="15" applyNumberFormat="1" applyFont="1" applyFill="1" applyBorder="1" applyAlignment="1">
      <alignment horizontal="center" vertical="center"/>
    </xf>
    <xf numFmtId="165" fontId="22" fillId="0" borderId="15" xfId="15" applyNumberFormat="1" applyFont="1" applyFill="1" applyBorder="1" applyAlignment="1">
      <alignment horizontal="center" vertical="center"/>
    </xf>
    <xf numFmtId="165" fontId="22" fillId="0" borderId="16" xfId="15" applyNumberFormat="1" applyFont="1" applyFill="1" applyBorder="1" applyAlignment="1">
      <alignment horizontal="center" vertical="center"/>
    </xf>
    <xf numFmtId="0" fontId="22" fillId="0" borderId="0" xfId="17" applyFont="1" applyAlignment="1">
      <alignment vertical="center"/>
    </xf>
    <xf numFmtId="0" fontId="18" fillId="0" borderId="0" xfId="17" applyFont="1" applyAlignment="1">
      <alignment vertical="center"/>
    </xf>
    <xf numFmtId="0" fontId="18" fillId="0" borderId="17" xfId="17" applyFont="1" applyBorder="1" applyAlignment="1">
      <alignment horizontal="center"/>
    </xf>
    <xf numFmtId="0" fontId="18" fillId="0" borderId="0" xfId="17" applyFont="1" applyFill="1" applyBorder="1" applyAlignment="1">
      <alignment vertical="center"/>
    </xf>
    <xf numFmtId="0" fontId="18" fillId="0" borderId="0" xfId="0" applyFont="1"/>
    <xf numFmtId="0" fontId="0" fillId="0" borderId="0" xfId="0" applyFill="1"/>
    <xf numFmtId="0" fontId="18" fillId="0" borderId="0" xfId="0" applyFont="1" applyFill="1"/>
    <xf numFmtId="0" fontId="18" fillId="0" borderId="0" xfId="0" applyFont="1" applyAlignment="1"/>
    <xf numFmtId="0" fontId="18" fillId="2" borderId="3" xfId="17" applyFont="1" applyFill="1" applyBorder="1" applyAlignment="1">
      <alignment vertical="top" wrapText="1"/>
    </xf>
    <xf numFmtId="0" fontId="22" fillId="2" borderId="18" xfId="17" applyFont="1" applyFill="1" applyBorder="1" applyAlignment="1">
      <alignment horizontal="center" vertical="top" wrapText="1"/>
    </xf>
    <xf numFmtId="0" fontId="10" fillId="0" borderId="5" xfId="17" applyFont="1" applyBorder="1" applyAlignment="1">
      <alignment vertical="center"/>
    </xf>
    <xf numFmtId="0" fontId="18" fillId="0" borderId="19" xfId="17" applyFont="1" applyFill="1" applyBorder="1" applyAlignment="1">
      <alignment vertical="center"/>
    </xf>
    <xf numFmtId="0" fontId="22" fillId="0" borderId="0" xfId="17" applyFont="1" applyFill="1" applyBorder="1" applyAlignment="1">
      <alignment vertical="center"/>
    </xf>
    <xf numFmtId="0" fontId="18" fillId="0" borderId="20" xfId="0" applyFont="1" applyFill="1" applyBorder="1" applyAlignment="1">
      <alignment vertical="top" wrapText="1"/>
    </xf>
    <xf numFmtId="0" fontId="9" fillId="0" borderId="8" xfId="0" applyFont="1" applyBorder="1" applyAlignment="1">
      <alignment horizontal="center" vertical="top"/>
    </xf>
    <xf numFmtId="0" fontId="9" fillId="0" borderId="9" xfId="0" applyFont="1" applyBorder="1" applyAlignment="1">
      <alignment horizontal="center" vertical="top"/>
    </xf>
    <xf numFmtId="0" fontId="2" fillId="4" borderId="9" xfId="17" applyFont="1" applyFill="1" applyBorder="1"/>
    <xf numFmtId="0" fontId="2" fillId="4" borderId="22" xfId="17" applyFont="1" applyFill="1" applyBorder="1"/>
    <xf numFmtId="0" fontId="2" fillId="4" borderId="10" xfId="17" applyFont="1" applyFill="1" applyBorder="1"/>
    <xf numFmtId="0" fontId="2" fillId="4" borderId="1" xfId="17" applyFont="1" applyFill="1" applyBorder="1"/>
    <xf numFmtId="0" fontId="2" fillId="4" borderId="0" xfId="17" applyFont="1" applyFill="1" applyBorder="1"/>
    <xf numFmtId="0" fontId="2" fillId="4" borderId="2" xfId="17" applyFont="1" applyFill="1" applyBorder="1"/>
    <xf numFmtId="0" fontId="2" fillId="4" borderId="23" xfId="17" applyFont="1" applyFill="1" applyBorder="1"/>
    <xf numFmtId="0" fontId="2" fillId="4" borderId="24" xfId="17" applyFont="1" applyFill="1" applyBorder="1"/>
    <xf numFmtId="0" fontId="2" fillId="4" borderId="12" xfId="17" applyFont="1" applyFill="1" applyBorder="1"/>
    <xf numFmtId="0" fontId="2" fillId="4" borderId="0" xfId="17" applyFont="1" applyFill="1"/>
    <xf numFmtId="0" fontId="5" fillId="0" borderId="0" xfId="17" applyFont="1"/>
    <xf numFmtId="0" fontId="5" fillId="0" borderId="0" xfId="17" applyFont="1" applyBorder="1"/>
    <xf numFmtId="0" fontId="5" fillId="0" borderId="0" xfId="0" applyFont="1" applyAlignment="1"/>
    <xf numFmtId="0" fontId="4" fillId="0" borderId="0" xfId="17" applyFont="1"/>
    <xf numFmtId="0" fontId="5" fillId="0" borderId="0" xfId="0" applyFont="1" applyBorder="1" applyAlignment="1">
      <alignment wrapText="1"/>
    </xf>
    <xf numFmtId="0" fontId="4" fillId="2" borderId="0" xfId="17" applyFont="1" applyFill="1"/>
    <xf numFmtId="0" fontId="5" fillId="2" borderId="0" xfId="17" applyFont="1" applyFill="1"/>
    <xf numFmtId="0" fontId="5" fillId="2" borderId="0" xfId="17" applyFont="1" applyFill="1" applyBorder="1"/>
    <xf numFmtId="0" fontId="23" fillId="0" borderId="0" xfId="17" applyFont="1" applyFill="1" applyBorder="1" applyAlignment="1">
      <alignment horizontal="center"/>
    </xf>
    <xf numFmtId="0" fontId="5" fillId="2" borderId="0" xfId="17" applyFont="1" applyFill="1" applyBorder="1" applyAlignment="1">
      <alignment horizontal="center"/>
    </xf>
    <xf numFmtId="0" fontId="5" fillId="0" borderId="19" xfId="17" applyFont="1" applyBorder="1"/>
    <xf numFmtId="0" fontId="4" fillId="0" borderId="0" xfId="0" applyFont="1" applyAlignment="1"/>
    <xf numFmtId="0" fontId="4" fillId="0" borderId="0" xfId="0" applyFont="1" applyAlignment="1">
      <alignment vertical="center"/>
    </xf>
    <xf numFmtId="0" fontId="5" fillId="2" borderId="1" xfId="17" applyFont="1" applyFill="1" applyBorder="1" applyAlignment="1"/>
    <xf numFmtId="0" fontId="5" fillId="2" borderId="0" xfId="17" applyFont="1" applyFill="1" applyBorder="1" applyAlignment="1"/>
    <xf numFmtId="0" fontId="23" fillId="0" borderId="0" xfId="17" applyFont="1" applyFill="1" applyBorder="1" applyAlignment="1"/>
    <xf numFmtId="0" fontId="5" fillId="0" borderId="0" xfId="17" applyFont="1" applyFill="1" applyBorder="1" applyAlignment="1">
      <alignment horizontal="center"/>
    </xf>
    <xf numFmtId="0" fontId="5" fillId="2" borderId="2" xfId="17" applyFont="1" applyFill="1" applyBorder="1" applyAlignment="1"/>
    <xf numFmtId="0" fontId="22" fillId="0" borderId="0" xfId="0" applyFont="1"/>
    <xf numFmtId="0" fontId="22" fillId="0" borderId="0" xfId="0" applyFont="1" applyFill="1"/>
    <xf numFmtId="0" fontId="18" fillId="5" borderId="25" xfId="17" applyFont="1" applyFill="1" applyBorder="1" applyAlignment="1">
      <alignment vertical="top"/>
    </xf>
    <xf numFmtId="0" fontId="18" fillId="5" borderId="26" xfId="17" applyFont="1" applyFill="1" applyBorder="1" applyAlignment="1">
      <alignment vertical="center"/>
    </xf>
    <xf numFmtId="0" fontId="18" fillId="5" borderId="27" xfId="17" applyFont="1" applyFill="1" applyBorder="1" applyAlignment="1">
      <alignment vertical="center"/>
    </xf>
    <xf numFmtId="0" fontId="18" fillId="5" borderId="28" xfId="17" applyFont="1" applyFill="1" applyBorder="1" applyAlignment="1">
      <alignment vertical="center"/>
    </xf>
    <xf numFmtId="0" fontId="18" fillId="5" borderId="29" xfId="17" applyFont="1" applyFill="1" applyBorder="1" applyAlignment="1">
      <alignment vertical="top"/>
    </xf>
    <xf numFmtId="0" fontId="18" fillId="0" borderId="19" xfId="17" applyFont="1" applyFill="1" applyBorder="1" applyAlignment="1">
      <alignment horizontal="center" vertical="center"/>
    </xf>
    <xf numFmtId="0" fontId="18" fillId="5" borderId="0" xfId="17" applyFont="1" applyFill="1" applyBorder="1" applyAlignment="1">
      <alignment vertical="center"/>
    </xf>
    <xf numFmtId="0" fontId="18" fillId="0" borderId="27" xfId="17" applyFont="1" applyFill="1" applyBorder="1" applyAlignment="1">
      <alignment horizontal="left" vertical="center"/>
    </xf>
    <xf numFmtId="0" fontId="18" fillId="5" borderId="27" xfId="17" applyFont="1" applyFill="1" applyBorder="1" applyAlignment="1">
      <alignment horizontal="left" vertical="center"/>
    </xf>
    <xf numFmtId="0" fontId="18" fillId="5" borderId="26" xfId="0" applyFont="1" applyFill="1" applyBorder="1"/>
    <xf numFmtId="0" fontId="18" fillId="0" borderId="27" xfId="0" applyFont="1" applyBorder="1"/>
    <xf numFmtId="0" fontId="0" fillId="0" borderId="27" xfId="0" applyBorder="1"/>
    <xf numFmtId="0" fontId="18" fillId="0" borderId="30" xfId="0" applyFont="1" applyBorder="1"/>
    <xf numFmtId="0" fontId="0" fillId="0" borderId="30" xfId="0" applyBorder="1"/>
    <xf numFmtId="0" fontId="18" fillId="6" borderId="27" xfId="17" applyFont="1" applyFill="1" applyBorder="1" applyAlignment="1">
      <alignment horizontal="left" vertical="center"/>
    </xf>
    <xf numFmtId="0" fontId="22" fillId="0" borderId="2" xfId="0" applyFont="1" applyFill="1" applyBorder="1" applyAlignment="1">
      <alignment vertical="top"/>
    </xf>
    <xf numFmtId="0" fontId="18" fillId="5" borderId="29" xfId="17" applyFont="1" applyFill="1" applyBorder="1" applyAlignment="1">
      <alignment vertical="center"/>
    </xf>
    <xf numFmtId="0" fontId="18" fillId="5" borderId="31" xfId="17" applyFont="1" applyFill="1" applyBorder="1" applyAlignment="1">
      <alignment vertical="center"/>
    </xf>
    <xf numFmtId="0" fontId="0" fillId="0" borderId="17" xfId="0" applyBorder="1"/>
    <xf numFmtId="0" fontId="18" fillId="5" borderId="25" xfId="0" applyFont="1" applyFill="1" applyBorder="1" applyAlignment="1">
      <alignment vertical="top"/>
    </xf>
    <xf numFmtId="0" fontId="22" fillId="0" borderId="19" xfId="17" applyFont="1" applyFill="1" applyBorder="1" applyAlignment="1">
      <alignment vertical="top"/>
    </xf>
    <xf numFmtId="0" fontId="22" fillId="0" borderId="19" xfId="0" applyFont="1" applyFill="1" applyBorder="1"/>
    <xf numFmtId="0" fontId="18" fillId="0" borderId="19" xfId="0" applyFont="1" applyBorder="1"/>
    <xf numFmtId="0" fontId="0" fillId="0" borderId="19" xfId="0" applyBorder="1"/>
    <xf numFmtId="0" fontId="18" fillId="5" borderId="32" xfId="17" applyFont="1" applyFill="1" applyBorder="1" applyAlignment="1">
      <alignment vertical="center"/>
    </xf>
    <xf numFmtId="0" fontId="0" fillId="0" borderId="33" xfId="0" applyBorder="1"/>
    <xf numFmtId="0" fontId="18" fillId="0" borderId="0" xfId="0" applyFont="1" applyBorder="1"/>
    <xf numFmtId="0" fontId="18" fillId="0" borderId="2" xfId="0" applyFont="1" applyBorder="1"/>
    <xf numFmtId="0" fontId="0" fillId="0" borderId="4" xfId="0" applyBorder="1"/>
    <xf numFmtId="0" fontId="18" fillId="5" borderId="34" xfId="17" applyFont="1" applyFill="1" applyBorder="1" applyAlignment="1">
      <alignment vertical="top"/>
    </xf>
    <xf numFmtId="0" fontId="18" fillId="0" borderId="4" xfId="0" applyFont="1" applyBorder="1"/>
    <xf numFmtId="0" fontId="18" fillId="0" borderId="4" xfId="0" applyFont="1" applyBorder="1" applyAlignment="1"/>
    <xf numFmtId="0" fontId="6" fillId="0" borderId="0" xfId="17" applyFont="1" applyFill="1" applyAlignment="1"/>
    <xf numFmtId="0" fontId="12" fillId="0" borderId="0" xfId="17" applyFont="1" applyFill="1" applyAlignment="1"/>
    <xf numFmtId="0" fontId="10" fillId="0" borderId="0" xfId="17" applyFont="1" applyFill="1" applyAlignment="1"/>
    <xf numFmtId="0" fontId="10" fillId="0" borderId="0" xfId="17" applyFont="1" applyFill="1"/>
    <xf numFmtId="0" fontId="11" fillId="0" borderId="0" xfId="17" applyFont="1" applyFill="1" applyAlignment="1"/>
    <xf numFmtId="166" fontId="22" fillId="0" borderId="16" xfId="17" applyNumberFormat="1" applyFont="1" applyFill="1" applyBorder="1" applyAlignment="1">
      <alignment horizontal="left"/>
    </xf>
    <xf numFmtId="0" fontId="22" fillId="0" borderId="35" xfId="17" applyFont="1" applyFill="1" applyBorder="1" applyAlignment="1"/>
    <xf numFmtId="0" fontId="18" fillId="0" borderId="22" xfId="17" applyFont="1" applyFill="1" applyBorder="1" applyAlignment="1"/>
    <xf numFmtId="0" fontId="18" fillId="0" borderId="10" xfId="17" applyFont="1" applyFill="1" applyBorder="1" applyAlignment="1"/>
    <xf numFmtId="166" fontId="18" fillId="0" borderId="22" xfId="17" applyNumberFormat="1" applyFont="1" applyFill="1" applyBorder="1"/>
    <xf numFmtId="166" fontId="18" fillId="0" borderId="10" xfId="17" applyNumberFormat="1" applyFont="1" applyFill="1" applyBorder="1"/>
    <xf numFmtId="166" fontId="18" fillId="0" borderId="22" xfId="17" applyNumberFormat="1" applyFont="1" applyFill="1" applyBorder="1" applyAlignment="1"/>
    <xf numFmtId="166" fontId="18" fillId="0" borderId="10" xfId="17" applyNumberFormat="1" applyFont="1" applyFill="1" applyBorder="1" applyAlignment="1"/>
    <xf numFmtId="0" fontId="18" fillId="0" borderId="0" xfId="17" applyFont="1" applyFill="1"/>
    <xf numFmtId="0" fontId="18" fillId="0" borderId="0" xfId="17" applyFont="1" applyFill="1" applyBorder="1" applyAlignment="1"/>
    <xf numFmtId="0" fontId="18" fillId="0" borderId="2" xfId="17" applyFont="1" applyFill="1" applyBorder="1" applyAlignment="1"/>
    <xf numFmtId="0" fontId="22" fillId="0" borderId="0" xfId="17" applyFont="1" applyFill="1" applyBorder="1" applyAlignment="1"/>
    <xf numFmtId="0" fontId="18" fillId="0" borderId="1" xfId="17" applyFont="1" applyFill="1" applyBorder="1"/>
    <xf numFmtId="0" fontId="18" fillId="0" borderId="0" xfId="17" applyFont="1" applyFill="1" applyBorder="1"/>
    <xf numFmtId="0" fontId="18" fillId="0" borderId="2" xfId="17" applyFont="1" applyFill="1" applyBorder="1"/>
    <xf numFmtId="0" fontId="18" fillId="0" borderId="14" xfId="17" applyFont="1" applyFill="1" applyBorder="1" applyAlignment="1">
      <alignment horizontal="center"/>
    </xf>
    <xf numFmtId="0" fontId="18" fillId="0" borderId="36" xfId="17" applyFont="1" applyFill="1" applyBorder="1" applyAlignment="1"/>
    <xf numFmtId="0" fontId="22" fillId="0" borderId="36" xfId="17" applyFont="1" applyFill="1" applyBorder="1" applyAlignment="1">
      <alignment horizontal="center"/>
    </xf>
    <xf numFmtId="0" fontId="22" fillId="0" borderId="37" xfId="17" applyFont="1" applyFill="1" applyBorder="1" applyAlignment="1">
      <alignment horizontal="center"/>
    </xf>
    <xf numFmtId="0" fontId="22" fillId="0" borderId="37" xfId="0" applyFont="1" applyBorder="1" applyAlignment="1">
      <alignment horizontal="center" vertical="top" wrapText="1"/>
    </xf>
    <xf numFmtId="0" fontId="22" fillId="0" borderId="36" xfId="0" applyFont="1" applyBorder="1" applyAlignment="1">
      <alignment horizontal="center" vertical="top" wrapText="1"/>
    </xf>
    <xf numFmtId="0" fontId="18" fillId="0" borderId="36" xfId="0" applyFont="1" applyFill="1" applyBorder="1" applyAlignment="1"/>
    <xf numFmtId="0" fontId="18" fillId="0" borderId="5" xfId="17" applyFont="1" applyFill="1" applyBorder="1" applyAlignment="1"/>
    <xf numFmtId="0" fontId="18" fillId="0" borderId="37" xfId="17" applyFont="1" applyFill="1" applyBorder="1"/>
    <xf numFmtId="0" fontId="18" fillId="0" borderId="36" xfId="17" applyFont="1" applyFill="1" applyBorder="1"/>
    <xf numFmtId="0" fontId="18" fillId="0" borderId="37" xfId="17" applyFont="1" applyFill="1" applyBorder="1" applyAlignment="1"/>
    <xf numFmtId="0" fontId="18" fillId="0" borderId="5" xfId="17" applyFont="1" applyFill="1" applyBorder="1"/>
    <xf numFmtId="0" fontId="18" fillId="0" borderId="36" xfId="0" applyFont="1" applyFill="1" applyBorder="1"/>
    <xf numFmtId="0" fontId="12" fillId="0" borderId="0" xfId="17" applyFont="1" applyFill="1"/>
    <xf numFmtId="0" fontId="14" fillId="0" borderId="0" xfId="17" applyFont="1" applyFill="1" applyAlignment="1">
      <alignment vertical="center"/>
    </xf>
    <xf numFmtId="0" fontId="11" fillId="0" borderId="0" xfId="17" applyFont="1" applyFill="1" applyAlignment="1">
      <alignment vertical="center"/>
    </xf>
    <xf numFmtId="0" fontId="2" fillId="0" borderId="0" xfId="17" applyFont="1" applyFill="1"/>
    <xf numFmtId="0" fontId="18" fillId="0" borderId="3" xfId="17" applyFont="1" applyFill="1" applyBorder="1" applyAlignment="1">
      <alignment wrapText="1"/>
    </xf>
    <xf numFmtId="0" fontId="18" fillId="0" borderId="3" xfId="10" applyFont="1" applyBorder="1"/>
    <xf numFmtId="0" fontId="22" fillId="0" borderId="18" xfId="17" applyFont="1" applyFill="1" applyBorder="1" applyAlignment="1">
      <alignment horizontal="center"/>
    </xf>
    <xf numFmtId="0" fontId="4" fillId="0" borderId="0" xfId="17" applyFont="1" applyAlignment="1"/>
    <xf numFmtId="166" fontId="22" fillId="2" borderId="38" xfId="17" applyNumberFormat="1" applyFont="1" applyFill="1" applyBorder="1" applyAlignment="1">
      <alignment horizontal="left" vertical="center" wrapText="1"/>
    </xf>
    <xf numFmtId="0" fontId="22" fillId="0" borderId="3" xfId="17" applyFont="1" applyFill="1" applyBorder="1" applyAlignment="1">
      <alignment horizontal="center"/>
    </xf>
    <xf numFmtId="0" fontId="9" fillId="0" borderId="2" xfId="0" applyFont="1" applyBorder="1" applyAlignment="1">
      <alignment vertical="top"/>
    </xf>
    <xf numFmtId="49" fontId="22" fillId="2" borderId="2" xfId="17" applyNumberFormat="1" applyFont="1" applyFill="1" applyBorder="1" applyAlignment="1">
      <alignment horizontal="center" vertical="top"/>
    </xf>
    <xf numFmtId="166" fontId="18" fillId="2" borderId="2" xfId="17" applyNumberFormat="1" applyFont="1" applyFill="1" applyBorder="1" applyAlignment="1">
      <alignment horizontal="center" vertical="top"/>
    </xf>
    <xf numFmtId="0" fontId="18" fillId="0" borderId="3" xfId="10" applyFont="1" applyBorder="1" applyAlignment="1">
      <alignment vertical="top" wrapText="1"/>
    </xf>
    <xf numFmtId="0" fontId="22" fillId="2" borderId="22" xfId="17" applyFont="1" applyFill="1" applyBorder="1" applyAlignment="1">
      <alignment horizontal="center" vertical="top" wrapText="1"/>
    </xf>
    <xf numFmtId="0" fontId="10" fillId="2" borderId="39" xfId="17" applyFont="1" applyFill="1" applyBorder="1" applyAlignment="1">
      <alignment vertical="center"/>
    </xf>
    <xf numFmtId="0" fontId="10" fillId="2" borderId="11" xfId="17" applyFont="1" applyFill="1" applyBorder="1" applyAlignment="1">
      <alignment vertical="center"/>
    </xf>
    <xf numFmtId="0" fontId="10" fillId="2" borderId="23" xfId="17" applyFont="1" applyFill="1" applyBorder="1" applyAlignment="1">
      <alignment vertical="center"/>
    </xf>
    <xf numFmtId="0" fontId="10" fillId="2" borderId="12" xfId="17" applyFont="1" applyFill="1" applyBorder="1" applyAlignment="1">
      <alignment vertical="center"/>
    </xf>
    <xf numFmtId="0" fontId="2" fillId="4" borderId="6" xfId="17" applyFont="1" applyFill="1" applyBorder="1" applyAlignment="1"/>
    <xf numFmtId="0" fontId="10" fillId="2" borderId="37" xfId="17" applyFont="1" applyFill="1" applyBorder="1" applyAlignment="1">
      <alignment vertical="center"/>
    </xf>
    <xf numFmtId="0" fontId="10" fillId="2" borderId="5" xfId="17" applyFont="1" applyFill="1" applyBorder="1" applyAlignment="1">
      <alignment vertical="center"/>
    </xf>
    <xf numFmtId="0" fontId="2" fillId="4" borderId="4" xfId="17" applyFont="1" applyFill="1" applyBorder="1" applyAlignment="1"/>
    <xf numFmtId="0" fontId="10" fillId="2" borderId="9" xfId="17" applyFont="1" applyFill="1" applyBorder="1" applyAlignment="1">
      <alignment vertical="center"/>
    </xf>
    <xf numFmtId="0" fontId="10" fillId="2" borderId="10" xfId="17" applyFont="1" applyFill="1" applyBorder="1" applyAlignment="1">
      <alignment vertical="center"/>
    </xf>
    <xf numFmtId="0" fontId="10" fillId="0" borderId="39" xfId="17" applyFont="1" applyFill="1" applyBorder="1" applyAlignment="1">
      <alignment vertical="center"/>
    </xf>
    <xf numFmtId="0" fontId="10" fillId="0" borderId="7" xfId="17" applyFont="1" applyFill="1" applyBorder="1" applyAlignment="1">
      <alignment horizontal="left" vertical="center"/>
    </xf>
    <xf numFmtId="0" fontId="10" fillId="0" borderId="37" xfId="17" applyFont="1" applyFill="1" applyBorder="1" applyAlignment="1">
      <alignment vertical="center"/>
    </xf>
    <xf numFmtId="0" fontId="10" fillId="0" borderId="9" xfId="17" applyFont="1" applyFill="1" applyBorder="1" applyAlignment="1">
      <alignment vertical="center"/>
    </xf>
    <xf numFmtId="0" fontId="10" fillId="0" borderId="8" xfId="17" applyFont="1" applyFill="1" applyBorder="1" applyAlignment="1">
      <alignment horizontal="left" vertical="center"/>
    </xf>
    <xf numFmtId="165" fontId="22" fillId="0" borderId="40" xfId="15" applyNumberFormat="1" applyFont="1" applyBorder="1" applyAlignment="1">
      <alignment horizontal="center" vertical="center"/>
    </xf>
    <xf numFmtId="165" fontId="22" fillId="0" borderId="21" xfId="15" applyNumberFormat="1" applyFont="1" applyBorder="1" applyAlignment="1">
      <alignment horizontal="center" vertical="center"/>
    </xf>
    <xf numFmtId="165" fontId="22" fillId="0" borderId="41" xfId="15" applyNumberFormat="1" applyFont="1" applyBorder="1" applyAlignment="1">
      <alignment horizontal="center" vertical="center"/>
    </xf>
    <xf numFmtId="165" fontId="22" fillId="0" borderId="38" xfId="15" applyNumberFormat="1" applyFont="1" applyBorder="1" applyAlignment="1">
      <alignment horizontal="center" vertical="center"/>
    </xf>
    <xf numFmtId="165" fontId="22" fillId="0" borderId="40" xfId="15" applyNumberFormat="1" applyFont="1" applyFill="1" applyBorder="1" applyAlignment="1">
      <alignment horizontal="center" vertical="center"/>
    </xf>
    <xf numFmtId="165" fontId="22" fillId="0" borderId="41" xfId="15" applyNumberFormat="1" applyFont="1" applyFill="1" applyBorder="1" applyAlignment="1">
      <alignment horizontal="center" vertical="center"/>
    </xf>
    <xf numFmtId="165" fontId="22" fillId="0" borderId="38" xfId="15" applyNumberFormat="1" applyFont="1" applyFill="1" applyBorder="1" applyAlignment="1">
      <alignment horizontal="center" vertical="center"/>
    </xf>
    <xf numFmtId="0" fontId="18" fillId="0" borderId="0" xfId="0" applyFont="1" applyFill="1" applyBorder="1" applyAlignment="1">
      <alignment horizontal="left" vertical="top"/>
    </xf>
    <xf numFmtId="166" fontId="22" fillId="0" borderId="8" xfId="17" applyNumberFormat="1" applyFont="1" applyFill="1" applyBorder="1" applyAlignment="1">
      <alignment horizontal="left" wrapText="1"/>
    </xf>
    <xf numFmtId="0" fontId="6" fillId="0" borderId="0" xfId="17" applyFont="1" applyFill="1" applyBorder="1" applyAlignment="1">
      <alignment vertical="center"/>
    </xf>
    <xf numFmtId="0" fontId="6" fillId="0" borderId="0" xfId="17" applyFont="1" applyFill="1" applyAlignment="1">
      <alignment horizontal="center" vertical="center" wrapText="1"/>
    </xf>
    <xf numFmtId="0" fontId="7" fillId="0" borderId="0" xfId="17" applyFont="1" applyFill="1" applyAlignment="1">
      <alignment wrapText="1"/>
    </xf>
    <xf numFmtId="0" fontId="54" fillId="0" borderId="0" xfId="17" applyFont="1" applyFill="1" applyAlignment="1">
      <alignment wrapText="1"/>
    </xf>
    <xf numFmtId="0" fontId="54" fillId="0" borderId="0" xfId="17" applyFont="1" applyFill="1" applyBorder="1" applyAlignment="1">
      <alignment wrapText="1"/>
    </xf>
    <xf numFmtId="0" fontId="7" fillId="0" borderId="0" xfId="17" applyFont="1" applyFill="1" applyBorder="1" applyAlignment="1">
      <alignment wrapText="1"/>
    </xf>
    <xf numFmtId="0" fontId="6" fillId="0" borderId="0" xfId="17" applyFont="1" applyFill="1" applyBorder="1" applyAlignment="1">
      <alignment vertical="center" wrapText="1"/>
    </xf>
    <xf numFmtId="0" fontId="55" fillId="0" borderId="0" xfId="17" applyFont="1" applyFill="1" applyBorder="1" applyAlignment="1">
      <alignment wrapText="1"/>
    </xf>
    <xf numFmtId="0" fontId="14" fillId="0" borderId="0" xfId="17" applyFont="1" applyFill="1" applyBorder="1" applyAlignment="1">
      <alignment wrapText="1"/>
    </xf>
    <xf numFmtId="0" fontId="14" fillId="0" borderId="0" xfId="17" applyFont="1" applyFill="1" applyAlignment="1">
      <alignment wrapText="1"/>
    </xf>
    <xf numFmtId="0" fontId="55" fillId="0" borderId="0" xfId="17" applyFont="1" applyFill="1" applyAlignment="1">
      <alignment wrapText="1"/>
    </xf>
    <xf numFmtId="0" fontId="14" fillId="0" borderId="0" xfId="17" applyFont="1" applyFill="1"/>
    <xf numFmtId="0" fontId="2" fillId="0" borderId="0" xfId="0" applyFont="1" applyFill="1" applyBorder="1" applyAlignment="1">
      <alignment wrapText="1"/>
    </xf>
    <xf numFmtId="0" fontId="11" fillId="0" borderId="0" xfId="17" applyFont="1" applyFill="1" applyAlignment="1">
      <alignment horizontal="left" vertical="center"/>
    </xf>
    <xf numFmtId="0" fontId="11" fillId="0" borderId="0" xfId="17" applyFont="1" applyFill="1" applyAlignment="1">
      <alignment horizontal="center" vertical="center" wrapText="1"/>
    </xf>
    <xf numFmtId="0" fontId="2" fillId="0" borderId="0" xfId="0" applyFont="1" applyFill="1" applyAlignment="1">
      <alignment wrapText="1"/>
    </xf>
    <xf numFmtId="0" fontId="0" fillId="0" borderId="24" xfId="0" applyBorder="1" applyAlignment="1">
      <alignment wrapText="1"/>
    </xf>
    <xf numFmtId="166" fontId="22" fillId="0" borderId="22" xfId="17" applyNumberFormat="1" applyFont="1" applyFill="1" applyBorder="1" applyAlignment="1">
      <alignment wrapText="1"/>
    </xf>
    <xf numFmtId="166" fontId="22" fillId="0" borderId="10" xfId="17" applyNumberFormat="1" applyFont="1" applyFill="1" applyBorder="1" applyAlignment="1">
      <alignment wrapText="1"/>
    </xf>
    <xf numFmtId="0" fontId="19" fillId="0" borderId="10" xfId="0" applyFont="1" applyFill="1" applyBorder="1" applyAlignment="1">
      <alignment wrapText="1"/>
    </xf>
    <xf numFmtId="166" fontId="22" fillId="0" borderId="9" xfId="17" applyNumberFormat="1" applyFont="1" applyFill="1" applyBorder="1" applyAlignment="1">
      <alignment horizontal="left" vertical="top" wrapText="1"/>
    </xf>
    <xf numFmtId="166" fontId="22" fillId="0" borderId="8" xfId="17" applyNumberFormat="1" applyFont="1" applyFill="1" applyBorder="1" applyAlignment="1">
      <alignment horizontal="left" vertical="top" wrapText="1"/>
    </xf>
    <xf numFmtId="0" fontId="19" fillId="0" borderId="1" xfId="0" applyFont="1" applyFill="1" applyBorder="1" applyAlignment="1">
      <alignment vertical="top" wrapText="1"/>
    </xf>
    <xf numFmtId="0" fontId="18" fillId="0" borderId="1" xfId="0" applyFont="1" applyFill="1" applyBorder="1" applyAlignment="1">
      <alignment wrapText="1"/>
    </xf>
    <xf numFmtId="0" fontId="18" fillId="0" borderId="1" xfId="17" applyFont="1" applyFill="1" applyBorder="1" applyAlignment="1">
      <alignment wrapText="1"/>
    </xf>
    <xf numFmtId="0" fontId="18" fillId="0" borderId="0" xfId="0" applyFont="1" applyFill="1" applyBorder="1"/>
    <xf numFmtId="0" fontId="18" fillId="0" borderId="0" xfId="0" quotePrefix="1" applyFont="1" applyFill="1" applyBorder="1" applyAlignment="1">
      <alignment vertical="top" wrapText="1"/>
    </xf>
    <xf numFmtId="0" fontId="18" fillId="0" borderId="2" xfId="0" quotePrefix="1" applyFont="1" applyFill="1" applyBorder="1" applyAlignment="1">
      <alignment vertical="top" wrapText="1"/>
    </xf>
    <xf numFmtId="0" fontId="18" fillId="0" borderId="1" xfId="0" applyFont="1" applyFill="1" applyBorder="1"/>
    <xf numFmtId="0" fontId="18" fillId="0" borderId="3" xfId="0" applyFont="1" applyFill="1" applyBorder="1"/>
    <xf numFmtId="0" fontId="18" fillId="0" borderId="3" xfId="0" quotePrefix="1" applyFont="1" applyFill="1" applyBorder="1" applyAlignment="1">
      <alignment vertical="top" wrapText="1"/>
    </xf>
    <xf numFmtId="0" fontId="18" fillId="0" borderId="3" xfId="17" applyFont="1" applyFill="1" applyBorder="1"/>
    <xf numFmtId="0" fontId="18" fillId="0" borderId="0" xfId="17" applyFont="1" applyFill="1" applyBorder="1" applyAlignment="1">
      <alignment wrapText="1"/>
    </xf>
    <xf numFmtId="0" fontId="18" fillId="0" borderId="2" xfId="17" applyFont="1" applyFill="1" applyBorder="1" applyAlignment="1">
      <alignment wrapText="1"/>
    </xf>
    <xf numFmtId="0" fontId="18" fillId="0" borderId="3" xfId="0" applyFont="1" applyFill="1" applyBorder="1" applyAlignment="1">
      <alignment wrapText="1"/>
    </xf>
    <xf numFmtId="0" fontId="19" fillId="0" borderId="3" xfId="0" applyFont="1" applyFill="1" applyBorder="1" applyAlignment="1">
      <alignment vertical="top" wrapText="1"/>
    </xf>
    <xf numFmtId="0" fontId="18" fillId="0" borderId="3" xfId="17" applyFont="1" applyFill="1" applyBorder="1" applyAlignment="1">
      <alignment horizontal="left"/>
    </xf>
    <xf numFmtId="0" fontId="19" fillId="0" borderId="1" xfId="0" applyFont="1" applyFill="1" applyBorder="1" applyAlignment="1">
      <alignment vertical="center" wrapText="1"/>
    </xf>
    <xf numFmtId="0" fontId="18" fillId="0" borderId="3" xfId="0" applyFont="1" applyFill="1" applyBorder="1" applyAlignment="1">
      <alignment horizontal="left"/>
    </xf>
    <xf numFmtId="0" fontId="18" fillId="0" borderId="0" xfId="0" applyFont="1" applyFill="1" applyBorder="1" applyAlignment="1">
      <alignment horizontal="center" wrapText="1"/>
    </xf>
    <xf numFmtId="0" fontId="22" fillId="0" borderId="3" xfId="17" applyFont="1" applyFill="1" applyBorder="1" applyAlignment="1">
      <alignment wrapText="1"/>
    </xf>
    <xf numFmtId="0" fontId="18" fillId="0" borderId="0" xfId="0" applyFont="1" applyFill="1" applyBorder="1" applyAlignment="1">
      <alignment vertical="center" wrapText="1"/>
    </xf>
    <xf numFmtId="0" fontId="18" fillId="0" borderId="1" xfId="0" applyFont="1" applyFill="1" applyBorder="1" applyAlignment="1">
      <alignment vertical="center" wrapText="1"/>
    </xf>
    <xf numFmtId="0" fontId="56" fillId="0" borderId="0" xfId="0" applyFont="1"/>
    <xf numFmtId="0" fontId="22" fillId="0" borderId="3" xfId="17" applyFont="1" applyFill="1" applyBorder="1" applyAlignment="1">
      <alignment horizontal="center" wrapText="1"/>
    </xf>
    <xf numFmtId="0" fontId="22" fillId="0" borderId="18" xfId="17" applyFont="1" applyFill="1" applyBorder="1" applyAlignment="1">
      <alignment vertical="center" wrapText="1"/>
    </xf>
    <xf numFmtId="0" fontId="22" fillId="0" borderId="22" xfId="16" applyFont="1" applyFill="1" applyBorder="1" applyAlignment="1">
      <alignment horizontal="center" vertical="center" wrapText="1"/>
    </xf>
    <xf numFmtId="0" fontId="22" fillId="0" borderId="18" xfId="16" applyFont="1" applyFill="1" applyBorder="1" applyAlignment="1">
      <alignment horizontal="center" vertical="center" wrapText="1"/>
    </xf>
    <xf numFmtId="0" fontId="22" fillId="0" borderId="18" xfId="17" applyFont="1" applyFill="1" applyBorder="1" applyAlignment="1">
      <alignment horizontal="center" vertical="center" wrapText="1"/>
    </xf>
    <xf numFmtId="0" fontId="22" fillId="0" borderId="18" xfId="17" applyFont="1" applyFill="1" applyBorder="1" applyAlignment="1">
      <alignment horizontal="center" vertical="center"/>
    </xf>
    <xf numFmtId="0" fontId="22" fillId="0" borderId="8" xfId="16" applyFont="1" applyFill="1" applyBorder="1" applyAlignment="1">
      <alignment horizontal="center" vertical="center" wrapText="1"/>
    </xf>
    <xf numFmtId="0" fontId="0" fillId="0" borderId="0" xfId="0" applyAlignment="1">
      <alignment vertical="center"/>
    </xf>
    <xf numFmtId="165" fontId="22" fillId="0" borderId="12" xfId="15" applyNumberFormat="1" applyFont="1" applyFill="1" applyBorder="1" applyAlignment="1">
      <alignment horizontal="center" vertical="center"/>
    </xf>
    <xf numFmtId="0" fontId="10" fillId="0" borderId="24" xfId="17" applyFont="1" applyFill="1" applyBorder="1" applyAlignment="1">
      <alignment wrapText="1"/>
    </xf>
    <xf numFmtId="0" fontId="5" fillId="0" borderId="12" xfId="0" applyFont="1" applyFill="1" applyBorder="1" applyAlignment="1">
      <alignment wrapText="1"/>
    </xf>
    <xf numFmtId="0" fontId="10" fillId="0" borderId="39" xfId="17" applyFont="1" applyFill="1" applyBorder="1" applyAlignment="1">
      <alignment wrapText="1"/>
    </xf>
    <xf numFmtId="0" fontId="5" fillId="0" borderId="11" xfId="0" applyFont="1" applyFill="1" applyBorder="1" applyAlignment="1">
      <alignment wrapText="1"/>
    </xf>
    <xf numFmtId="0" fontId="57" fillId="0" borderId="39" xfId="17" applyFont="1" applyFill="1" applyBorder="1" applyAlignment="1">
      <alignment wrapText="1"/>
    </xf>
    <xf numFmtId="0" fontId="10" fillId="0" borderId="7" xfId="17" applyFont="1" applyFill="1" applyBorder="1" applyAlignment="1">
      <alignment wrapText="1"/>
    </xf>
    <xf numFmtId="0" fontId="10" fillId="0" borderId="42" xfId="17" applyFont="1" applyFill="1" applyBorder="1" applyAlignment="1">
      <alignment wrapText="1"/>
    </xf>
    <xf numFmtId="0" fontId="57" fillId="0" borderId="7" xfId="17" applyFont="1" applyFill="1" applyBorder="1" applyAlignment="1">
      <alignment wrapText="1"/>
    </xf>
    <xf numFmtId="0" fontId="5" fillId="0" borderId="24" xfId="0" applyFont="1" applyFill="1" applyBorder="1" applyAlignment="1">
      <alignment wrapText="1"/>
    </xf>
    <xf numFmtId="0" fontId="10" fillId="0" borderId="11" xfId="17" applyFont="1" applyFill="1" applyBorder="1" applyAlignment="1">
      <alignment wrapText="1"/>
    </xf>
    <xf numFmtId="0" fontId="10" fillId="0" borderId="11" xfId="17" applyFont="1" applyFill="1" applyBorder="1"/>
    <xf numFmtId="0" fontId="10" fillId="0" borderId="7" xfId="17" applyFont="1" applyFill="1" applyBorder="1"/>
    <xf numFmtId="0" fontId="10" fillId="0" borderId="6" xfId="17" applyFont="1" applyFill="1" applyBorder="1" applyAlignment="1">
      <alignment wrapText="1"/>
    </xf>
    <xf numFmtId="165" fontId="22" fillId="0" borderId="10" xfId="15" applyNumberFormat="1" applyFont="1" applyFill="1" applyBorder="1" applyAlignment="1">
      <alignment horizontal="center" vertical="center"/>
    </xf>
    <xf numFmtId="0" fontId="10" fillId="0" borderId="36" xfId="17" applyFont="1" applyFill="1" applyBorder="1" applyAlignment="1">
      <alignment wrapText="1"/>
    </xf>
    <xf numFmtId="0" fontId="5" fillId="0" borderId="5" xfId="0" applyFont="1" applyFill="1" applyBorder="1" applyAlignment="1">
      <alignment wrapText="1"/>
    </xf>
    <xf numFmtId="0" fontId="10" fillId="0" borderId="37" xfId="17" applyFont="1" applyFill="1" applyBorder="1" applyAlignment="1">
      <alignment wrapText="1"/>
    </xf>
    <xf numFmtId="0" fontId="57" fillId="0" borderId="37" xfId="17" applyFont="1" applyFill="1" applyBorder="1" applyAlignment="1">
      <alignment wrapText="1"/>
    </xf>
    <xf numFmtId="0" fontId="56" fillId="0" borderId="36" xfId="0" applyFont="1" applyFill="1" applyBorder="1" applyAlignment="1">
      <alignment wrapText="1"/>
    </xf>
    <xf numFmtId="0" fontId="56" fillId="0" borderId="5" xfId="0" applyFont="1" applyFill="1" applyBorder="1" applyAlignment="1">
      <alignment wrapText="1"/>
    </xf>
    <xf numFmtId="0" fontId="10" fillId="0" borderId="4" xfId="17" applyFont="1" applyFill="1" applyBorder="1" applyAlignment="1">
      <alignment wrapText="1"/>
    </xf>
    <xf numFmtId="0" fontId="57" fillId="0" borderId="4" xfId="17" applyFont="1" applyFill="1" applyBorder="1" applyAlignment="1">
      <alignment wrapText="1"/>
    </xf>
    <xf numFmtId="0" fontId="5" fillId="0" borderId="22" xfId="0" applyFont="1" applyFill="1" applyBorder="1" applyAlignment="1">
      <alignment wrapText="1"/>
    </xf>
    <xf numFmtId="0" fontId="10" fillId="0" borderId="22" xfId="17" applyFont="1" applyFill="1" applyBorder="1" applyAlignment="1">
      <alignment wrapText="1"/>
    </xf>
    <xf numFmtId="0" fontId="5" fillId="0" borderId="10" xfId="0" applyFont="1" applyFill="1" applyBorder="1" applyAlignment="1">
      <alignment wrapText="1"/>
    </xf>
    <xf numFmtId="0" fontId="10" fillId="0" borderId="8" xfId="17" applyFont="1" applyFill="1" applyBorder="1" applyAlignment="1">
      <alignment wrapText="1"/>
    </xf>
    <xf numFmtId="0" fontId="10" fillId="0" borderId="10" xfId="17" applyFont="1" applyFill="1" applyBorder="1" applyAlignment="1">
      <alignment wrapText="1"/>
    </xf>
    <xf numFmtId="0" fontId="5" fillId="0" borderId="8" xfId="0" applyFont="1" applyFill="1" applyBorder="1" applyAlignment="1">
      <alignment wrapText="1"/>
    </xf>
    <xf numFmtId="0" fontId="10" fillId="0" borderId="9" xfId="17" applyFont="1" applyFill="1" applyBorder="1" applyAlignment="1">
      <alignment wrapText="1"/>
    </xf>
    <xf numFmtId="0" fontId="57" fillId="0" borderId="9" xfId="17" applyFont="1" applyFill="1" applyBorder="1" applyAlignment="1">
      <alignment wrapText="1"/>
    </xf>
    <xf numFmtId="0" fontId="56" fillId="0" borderId="22" xfId="0" applyFont="1" applyFill="1" applyBorder="1" applyAlignment="1">
      <alignment wrapText="1"/>
    </xf>
    <xf numFmtId="0" fontId="56" fillId="0" borderId="10" xfId="0" applyFont="1" applyFill="1" applyBorder="1" applyAlignment="1">
      <alignment wrapText="1"/>
    </xf>
    <xf numFmtId="0" fontId="57" fillId="0" borderId="8" xfId="17" applyFont="1" applyFill="1" applyBorder="1" applyAlignment="1">
      <alignment wrapText="1"/>
    </xf>
    <xf numFmtId="165" fontId="22" fillId="0" borderId="11" xfId="15" applyNumberFormat="1" applyFont="1" applyFill="1" applyBorder="1" applyAlignment="1">
      <alignment horizontal="center" vertical="center"/>
    </xf>
    <xf numFmtId="0" fontId="5" fillId="0" borderId="42" xfId="0" applyFont="1" applyFill="1" applyBorder="1" applyAlignment="1">
      <alignment wrapText="1"/>
    </xf>
    <xf numFmtId="165" fontId="22" fillId="0" borderId="43" xfId="15" applyNumberFormat="1" applyFont="1" applyFill="1" applyBorder="1" applyAlignment="1">
      <alignment horizontal="center" vertical="center"/>
    </xf>
    <xf numFmtId="165" fontId="22" fillId="0" borderId="2" xfId="15" applyNumberFormat="1" applyFont="1" applyFill="1" applyBorder="1" applyAlignment="1">
      <alignment horizontal="center" vertical="center"/>
    </xf>
    <xf numFmtId="0" fontId="10" fillId="0" borderId="23" xfId="17" applyFont="1" applyFill="1" applyBorder="1" applyAlignment="1">
      <alignment wrapText="1"/>
    </xf>
    <xf numFmtId="0" fontId="57" fillId="0" borderId="23" xfId="17" applyFont="1" applyFill="1" applyBorder="1" applyAlignment="1">
      <alignment wrapText="1"/>
    </xf>
    <xf numFmtId="0" fontId="56" fillId="0" borderId="24" xfId="0" applyFont="1" applyFill="1" applyBorder="1" applyAlignment="1">
      <alignment wrapText="1"/>
    </xf>
    <xf numFmtId="0" fontId="56" fillId="0" borderId="12" xfId="0" applyFont="1" applyFill="1" applyBorder="1" applyAlignment="1">
      <alignment wrapText="1"/>
    </xf>
    <xf numFmtId="0" fontId="57" fillId="0" borderId="6" xfId="17" applyFont="1" applyFill="1" applyBorder="1" applyAlignment="1">
      <alignment wrapText="1"/>
    </xf>
    <xf numFmtId="0" fontId="5" fillId="0" borderId="0" xfId="0" applyFont="1" applyFill="1" applyBorder="1" applyAlignment="1">
      <alignment wrapText="1"/>
    </xf>
    <xf numFmtId="0" fontId="10" fillId="0" borderId="0" xfId="17" applyFont="1" applyFill="1" applyBorder="1" applyAlignment="1">
      <alignment wrapText="1"/>
    </xf>
    <xf numFmtId="0" fontId="5" fillId="0" borderId="2" xfId="0" applyFont="1" applyFill="1" applyBorder="1" applyAlignment="1">
      <alignment wrapText="1"/>
    </xf>
    <xf numFmtId="0" fontId="10" fillId="0" borderId="3" xfId="17" applyFont="1" applyFill="1" applyBorder="1" applyAlignment="1">
      <alignment wrapText="1"/>
    </xf>
    <xf numFmtId="0" fontId="10" fillId="0" borderId="2" xfId="17" applyFont="1" applyFill="1" applyBorder="1" applyAlignment="1">
      <alignment wrapText="1"/>
    </xf>
    <xf numFmtId="0" fontId="5" fillId="0" borderId="3" xfId="0" applyFont="1" applyFill="1" applyBorder="1" applyAlignment="1">
      <alignment wrapText="1"/>
    </xf>
    <xf numFmtId="0" fontId="10" fillId="0" borderId="5" xfId="17" applyFont="1" applyFill="1" applyBorder="1" applyAlignment="1">
      <alignment wrapText="1"/>
    </xf>
    <xf numFmtId="0" fontId="57" fillId="0" borderId="36" xfId="17" applyFont="1" applyFill="1" applyBorder="1" applyAlignment="1">
      <alignment wrapText="1"/>
    </xf>
    <xf numFmtId="0" fontId="57" fillId="0" borderId="5" xfId="17" applyFont="1" applyFill="1" applyBorder="1" applyAlignment="1">
      <alignment wrapText="1"/>
    </xf>
    <xf numFmtId="165" fontId="22" fillId="0" borderId="5" xfId="15" applyNumberFormat="1" applyFont="1" applyFill="1" applyBorder="1" applyAlignment="1">
      <alignment horizontal="center" vertical="center"/>
    </xf>
    <xf numFmtId="0" fontId="5" fillId="0" borderId="36" xfId="0" applyFont="1" applyFill="1" applyBorder="1" applyAlignment="1">
      <alignment wrapText="1"/>
    </xf>
    <xf numFmtId="0" fontId="5" fillId="0" borderId="4" xfId="0" applyFont="1" applyFill="1" applyBorder="1" applyAlignment="1">
      <alignment wrapText="1"/>
    </xf>
    <xf numFmtId="166" fontId="22" fillId="0" borderId="9" xfId="17" applyNumberFormat="1" applyFont="1" applyFill="1" applyBorder="1" applyAlignment="1"/>
    <xf numFmtId="0" fontId="6" fillId="0" borderId="0" xfId="17" applyFont="1" applyFill="1" applyAlignment="1">
      <alignment horizontal="left" vertical="center"/>
    </xf>
    <xf numFmtId="0" fontId="55" fillId="0" borderId="0" xfId="17" applyFont="1" applyFill="1"/>
    <xf numFmtId="0" fontId="7" fillId="0" borderId="0" xfId="17" applyFont="1" applyFill="1"/>
    <xf numFmtId="0" fontId="5" fillId="0" borderId="0" xfId="0" applyFont="1" applyFill="1" applyAlignment="1">
      <alignment wrapText="1"/>
    </xf>
    <xf numFmtId="0" fontId="11" fillId="0" borderId="0" xfId="17" applyFont="1" applyFill="1" applyBorder="1" applyAlignment="1">
      <alignment vertical="center"/>
    </xf>
    <xf numFmtId="0" fontId="18" fillId="0" borderId="0" xfId="17" applyFont="1" applyFill="1" applyAlignment="1">
      <alignment wrapText="1"/>
    </xf>
    <xf numFmtId="0" fontId="58" fillId="0" borderId="0" xfId="17" applyFont="1" applyFill="1" applyAlignment="1">
      <alignment wrapText="1"/>
    </xf>
    <xf numFmtId="0" fontId="58" fillId="0" borderId="0" xfId="17" applyFont="1" applyFill="1"/>
    <xf numFmtId="0" fontId="7" fillId="0" borderId="0" xfId="0" applyFont="1" applyFill="1" applyAlignment="1">
      <alignment wrapText="1"/>
    </xf>
    <xf numFmtId="0" fontId="18" fillId="0" borderId="0" xfId="0" applyFont="1" applyFill="1" applyAlignment="1">
      <alignment wrapText="1"/>
    </xf>
    <xf numFmtId="0" fontId="6" fillId="0" borderId="0" xfId="17" applyFont="1" applyFill="1"/>
    <xf numFmtId="0" fontId="11" fillId="0" borderId="0" xfId="17" applyFont="1" applyFill="1"/>
    <xf numFmtId="0" fontId="22" fillId="0" borderId="10" xfId="17" applyFont="1" applyFill="1" applyBorder="1" applyAlignment="1">
      <alignment wrapText="1"/>
    </xf>
    <xf numFmtId="0" fontId="22" fillId="0" borderId="22" xfId="17" applyFont="1" applyFill="1" applyBorder="1" applyAlignment="1">
      <alignment wrapText="1"/>
    </xf>
    <xf numFmtId="0" fontId="18" fillId="0" borderId="22" xfId="17" applyFont="1" applyFill="1" applyBorder="1"/>
    <xf numFmtId="0" fontId="18" fillId="0" borderId="10" xfId="17" applyFont="1" applyFill="1" applyBorder="1"/>
    <xf numFmtId="0" fontId="18" fillId="0" borderId="0" xfId="0" applyFont="1" applyFill="1" applyBorder="1" applyAlignment="1">
      <alignment vertical="top" wrapText="1"/>
    </xf>
    <xf numFmtId="0" fontId="18" fillId="0" borderId="2" xfId="0" applyFont="1" applyFill="1" applyBorder="1" applyAlignment="1">
      <alignment wrapText="1"/>
    </xf>
    <xf numFmtId="0" fontId="18" fillId="0" borderId="0" xfId="0" applyFont="1" applyFill="1" applyBorder="1" applyAlignment="1">
      <alignment wrapText="1"/>
    </xf>
    <xf numFmtId="0" fontId="18" fillId="0" borderId="3" xfId="0" applyFont="1" applyFill="1" applyBorder="1" applyAlignment="1">
      <alignment vertical="center" wrapText="1"/>
    </xf>
    <xf numFmtId="0" fontId="22" fillId="0" borderId="3" xfId="17" applyFont="1" applyFill="1" applyBorder="1" applyAlignment="1">
      <alignment vertical="center" wrapText="1"/>
    </xf>
    <xf numFmtId="0" fontId="18" fillId="0" borderId="3" xfId="0" applyFont="1" applyFill="1" applyBorder="1" applyAlignment="1">
      <alignment horizontal="right"/>
    </xf>
    <xf numFmtId="0" fontId="18" fillId="0" borderId="3" xfId="17" applyFont="1" applyFill="1" applyBorder="1" applyAlignment="1">
      <alignment vertical="center" wrapText="1"/>
    </xf>
    <xf numFmtId="0" fontId="18" fillId="0" borderId="3" xfId="17" applyFont="1" applyFill="1" applyBorder="1" applyAlignment="1">
      <alignment horizontal="center"/>
    </xf>
    <xf numFmtId="0" fontId="18" fillId="0" borderId="6" xfId="17" applyFont="1" applyFill="1" applyBorder="1"/>
    <xf numFmtId="0" fontId="18" fillId="0" borderId="6" xfId="17" applyFont="1" applyFill="1" applyBorder="1" applyAlignment="1">
      <alignment wrapText="1"/>
    </xf>
    <xf numFmtId="0" fontId="22" fillId="0" borderId="8" xfId="17" applyFont="1" applyFill="1" applyBorder="1" applyAlignment="1">
      <alignment horizontal="center"/>
    </xf>
    <xf numFmtId="0" fontId="22" fillId="0" borderId="22" xfId="17" applyFont="1" applyFill="1" applyBorder="1" applyAlignment="1">
      <alignment horizontal="center"/>
    </xf>
    <xf numFmtId="165" fontId="22" fillId="0" borderId="12" xfId="15" applyNumberFormat="1" applyFont="1" applyBorder="1" applyAlignment="1">
      <alignment horizontal="center" vertical="center"/>
    </xf>
    <xf numFmtId="0" fontId="18" fillId="0" borderId="42" xfId="17" applyFont="1" applyFill="1" applyBorder="1"/>
    <xf numFmtId="0" fontId="18" fillId="0" borderId="39" xfId="17" applyFont="1" applyFill="1" applyBorder="1"/>
    <xf numFmtId="0" fontId="18" fillId="0" borderId="7" xfId="17" applyFont="1" applyFill="1" applyBorder="1"/>
    <xf numFmtId="0" fontId="18" fillId="0" borderId="11" xfId="17" applyFont="1" applyFill="1" applyBorder="1"/>
    <xf numFmtId="0" fontId="58" fillId="0" borderId="7" xfId="17" applyFont="1" applyFill="1" applyBorder="1"/>
    <xf numFmtId="0" fontId="58" fillId="0" borderId="42" xfId="17" applyFont="1" applyFill="1" applyBorder="1"/>
    <xf numFmtId="0" fontId="58" fillId="0" borderId="11" xfId="17" applyFont="1" applyFill="1" applyBorder="1"/>
    <xf numFmtId="0" fontId="18" fillId="0" borderId="7" xfId="17" applyFont="1" applyFill="1" applyBorder="1" applyAlignment="1"/>
    <xf numFmtId="0" fontId="18" fillId="0" borderId="12" xfId="17" applyFont="1" applyFill="1" applyBorder="1" applyAlignment="1"/>
    <xf numFmtId="0" fontId="18" fillId="0" borderId="6" xfId="17" applyFont="1" applyFill="1" applyBorder="1" applyAlignment="1"/>
    <xf numFmtId="0" fontId="18" fillId="0" borderId="4" xfId="17" applyFont="1" applyFill="1" applyBorder="1"/>
    <xf numFmtId="165" fontId="22" fillId="0" borderId="2" xfId="15" applyNumberFormat="1" applyFont="1" applyBorder="1" applyAlignment="1">
      <alignment horizontal="center" vertical="center"/>
    </xf>
    <xf numFmtId="0" fontId="58" fillId="0" borderId="3" xfId="17" applyFont="1" applyFill="1" applyBorder="1"/>
    <xf numFmtId="0" fontId="58" fillId="0" borderId="0" xfId="17" applyFont="1" applyFill="1" applyBorder="1"/>
    <xf numFmtId="0" fontId="58" fillId="0" borderId="2" xfId="17" applyFont="1" applyFill="1" applyBorder="1"/>
    <xf numFmtId="165" fontId="22" fillId="0" borderId="43" xfId="15" applyNumberFormat="1" applyFont="1" applyBorder="1" applyAlignment="1">
      <alignment horizontal="center" vertical="center"/>
    </xf>
    <xf numFmtId="0" fontId="18" fillId="0" borderId="1" xfId="17" applyFont="1" applyFill="1" applyBorder="1" applyAlignment="1"/>
    <xf numFmtId="165" fontId="22" fillId="0" borderId="10" xfId="15" applyNumberFormat="1" applyFont="1" applyBorder="1" applyAlignment="1">
      <alignment horizontal="center" vertical="center"/>
    </xf>
    <xf numFmtId="0" fontId="18" fillId="0" borderId="9" xfId="17" applyFont="1" applyFill="1" applyBorder="1"/>
    <xf numFmtId="0" fontId="18" fillId="0" borderId="8" xfId="17" applyFont="1" applyFill="1" applyBorder="1"/>
    <xf numFmtId="0" fontId="58" fillId="0" borderId="8" xfId="17" applyFont="1" applyFill="1" applyBorder="1"/>
    <xf numFmtId="0" fontId="58" fillId="0" borderId="22" xfId="17" applyFont="1" applyFill="1" applyBorder="1"/>
    <xf numFmtId="0" fontId="58" fillId="0" borderId="10" xfId="17" applyFont="1" applyFill="1" applyBorder="1"/>
    <xf numFmtId="0" fontId="18" fillId="0" borderId="8" xfId="17" applyFont="1" applyFill="1" applyBorder="1" applyAlignment="1"/>
    <xf numFmtId="165" fontId="22" fillId="0" borderId="5" xfId="15" applyNumberFormat="1" applyFont="1" applyBorder="1" applyAlignment="1">
      <alignment horizontal="center" vertical="center"/>
    </xf>
    <xf numFmtId="0" fontId="58" fillId="0" borderId="4" xfId="17" applyFont="1" applyFill="1" applyBorder="1"/>
    <xf numFmtId="0" fontId="58" fillId="0" borderId="36" xfId="17" applyFont="1" applyFill="1" applyBorder="1"/>
    <xf numFmtId="0" fontId="58" fillId="0" borderId="5" xfId="17" applyFont="1" applyFill="1" applyBorder="1"/>
    <xf numFmtId="0" fontId="18" fillId="0" borderId="4" xfId="17" applyFont="1" applyFill="1" applyBorder="1" applyAlignment="1"/>
    <xf numFmtId="165" fontId="22" fillId="0" borderId="45" xfId="15" applyNumberFormat="1" applyFont="1" applyBorder="1" applyAlignment="1">
      <alignment horizontal="center" vertical="center"/>
    </xf>
    <xf numFmtId="0" fontId="18" fillId="0" borderId="46" xfId="17" applyFont="1" applyFill="1" applyBorder="1"/>
    <xf numFmtId="0" fontId="18" fillId="0" borderId="44" xfId="17" applyFont="1" applyFill="1" applyBorder="1"/>
    <xf numFmtId="0" fontId="18" fillId="0" borderId="18" xfId="17" applyFont="1" applyFill="1" applyBorder="1"/>
    <xf numFmtId="0" fontId="18" fillId="0" borderId="45" xfId="17" applyFont="1" applyFill="1" applyBorder="1"/>
    <xf numFmtId="0" fontId="58" fillId="0" borderId="18" xfId="17" applyFont="1" applyFill="1" applyBorder="1"/>
    <xf numFmtId="0" fontId="58" fillId="0" borderId="46" xfId="17" applyFont="1" applyFill="1" applyBorder="1"/>
    <xf numFmtId="0" fontId="58" fillId="0" borderId="45" xfId="17" applyFont="1" applyFill="1" applyBorder="1"/>
    <xf numFmtId="165" fontId="22" fillId="0" borderId="47" xfId="15" applyNumberFormat="1" applyFont="1" applyBorder="1" applyAlignment="1">
      <alignment horizontal="center" vertical="center"/>
    </xf>
    <xf numFmtId="0" fontId="18" fillId="0" borderId="45" xfId="17" applyFont="1" applyFill="1" applyBorder="1" applyAlignment="1"/>
    <xf numFmtId="0" fontId="18" fillId="0" borderId="18" xfId="17" applyFont="1" applyFill="1" applyBorder="1" applyAlignment="1"/>
    <xf numFmtId="165" fontId="22" fillId="0" borderId="14" xfId="15" applyNumberFormat="1" applyFont="1" applyFill="1" applyBorder="1" applyAlignment="1">
      <alignment horizontal="center" vertical="center"/>
    </xf>
    <xf numFmtId="165" fontId="18" fillId="0" borderId="5" xfId="15" applyNumberFormat="1" applyFont="1" applyFill="1" applyBorder="1" applyAlignment="1">
      <alignment horizontal="center" vertical="center"/>
    </xf>
    <xf numFmtId="165" fontId="22" fillId="0" borderId="45" xfId="15" applyNumberFormat="1" applyFont="1" applyFill="1" applyBorder="1" applyAlignment="1">
      <alignment horizontal="center" vertical="center"/>
    </xf>
    <xf numFmtId="165" fontId="22" fillId="0" borderId="47" xfId="15" applyNumberFormat="1" applyFont="1" applyFill="1" applyBorder="1" applyAlignment="1">
      <alignment horizontal="center" vertical="center"/>
    </xf>
    <xf numFmtId="0" fontId="54" fillId="0" borderId="0" xfId="17" applyFont="1" applyFill="1"/>
    <xf numFmtId="1" fontId="6" fillId="0" borderId="0" xfId="3" applyNumberFormat="1" applyFont="1" applyFill="1" applyBorder="1" applyAlignment="1">
      <alignment horizontal="left" vertical="center"/>
    </xf>
    <xf numFmtId="0" fontId="14" fillId="0" borderId="0" xfId="17" applyFont="1" applyFill="1" applyBorder="1" applyAlignment="1">
      <alignment vertical="center"/>
    </xf>
    <xf numFmtId="0" fontId="10" fillId="0" borderId="0" xfId="17" applyFont="1" applyFill="1" applyBorder="1" applyAlignment="1">
      <alignment vertical="center"/>
    </xf>
    <xf numFmtId="1" fontId="12" fillId="0" borderId="0" xfId="3" applyNumberFormat="1" applyFont="1" applyFill="1" applyBorder="1" applyAlignment="1">
      <alignment horizontal="center" vertical="center"/>
    </xf>
    <xf numFmtId="1" fontId="8" fillId="0" borderId="0" xfId="3" applyNumberFormat="1" applyFont="1" applyFill="1" applyBorder="1" applyAlignment="1">
      <alignment horizontal="center" vertical="center"/>
    </xf>
    <xf numFmtId="0" fontId="2" fillId="0" borderId="0" xfId="17" applyFont="1" applyFill="1" applyBorder="1" applyAlignment="1">
      <alignment vertical="center"/>
    </xf>
    <xf numFmtId="0" fontId="2" fillId="0" borderId="0" xfId="17" applyFont="1" applyFill="1" applyAlignment="1">
      <alignment vertical="center"/>
    </xf>
    <xf numFmtId="1" fontId="11" fillId="0" borderId="0" xfId="3" applyNumberFormat="1" applyFont="1" applyFill="1" applyBorder="1" applyAlignment="1">
      <alignment horizontal="left" vertical="center"/>
    </xf>
    <xf numFmtId="166" fontId="18" fillId="0" borderId="8" xfId="17" applyNumberFormat="1" applyFont="1" applyFill="1" applyBorder="1" applyAlignment="1">
      <alignment horizontal="left"/>
    </xf>
    <xf numFmtId="0" fontId="18" fillId="0" borderId="1" xfId="10" applyFont="1" applyFill="1" applyBorder="1" applyAlignment="1">
      <alignment vertical="top"/>
    </xf>
    <xf numFmtId="0" fontId="18" fillId="0" borderId="0" xfId="10" applyFont="1" applyFill="1" applyBorder="1" applyAlignment="1">
      <alignment vertical="top"/>
    </xf>
    <xf numFmtId="0" fontId="22" fillId="0" borderId="1" xfId="17" applyFont="1" applyFill="1" applyBorder="1" applyAlignment="1">
      <alignment horizontal="left" vertical="top"/>
    </xf>
    <xf numFmtId="0" fontId="22" fillId="0" borderId="0" xfId="17" applyFont="1" applyFill="1" applyBorder="1" applyAlignment="1">
      <alignment horizontal="left" vertical="top"/>
    </xf>
    <xf numFmtId="0" fontId="19" fillId="0" borderId="0" xfId="17" applyFont="1" applyFill="1" applyBorder="1" applyAlignment="1"/>
    <xf numFmtId="0" fontId="19" fillId="0" borderId="48" xfId="0" applyFont="1" applyBorder="1" applyAlignment="1">
      <alignment vertical="top" wrapText="1"/>
    </xf>
    <xf numFmtId="0" fontId="19" fillId="0" borderId="3" xfId="0" applyFont="1" applyBorder="1" applyAlignment="1">
      <alignment wrapText="1"/>
    </xf>
    <xf numFmtId="0" fontId="18" fillId="0" borderId="3" xfId="10" applyFont="1" applyBorder="1" applyAlignment="1">
      <alignment wrapText="1"/>
    </xf>
    <xf numFmtId="0" fontId="22" fillId="0" borderId="23" xfId="17" applyFont="1" applyFill="1" applyBorder="1" applyAlignment="1">
      <alignment wrapText="1"/>
    </xf>
    <xf numFmtId="0" fontId="59" fillId="0" borderId="12" xfId="10" applyFont="1" applyBorder="1" applyAlignment="1">
      <alignment wrapText="1"/>
    </xf>
    <xf numFmtId="0" fontId="22" fillId="0" borderId="49" xfId="17" applyFont="1" applyFill="1" applyBorder="1" applyAlignment="1">
      <alignment horizontal="center"/>
    </xf>
    <xf numFmtId="1" fontId="22" fillId="0" borderId="44" xfId="3" applyNumberFormat="1" applyFont="1" applyFill="1" applyBorder="1" applyAlignment="1">
      <alignment horizontal="center"/>
    </xf>
    <xf numFmtId="165" fontId="11" fillId="0" borderId="14" xfId="15" applyNumberFormat="1" applyFont="1" applyBorder="1" applyAlignment="1">
      <alignment horizontal="center" vertical="center"/>
    </xf>
    <xf numFmtId="0" fontId="2" fillId="4" borderId="12" xfId="17" applyFont="1" applyFill="1" applyBorder="1" applyAlignment="1"/>
    <xf numFmtId="0" fontId="2" fillId="4" borderId="23" xfId="17" applyFont="1" applyFill="1" applyBorder="1" applyAlignment="1"/>
    <xf numFmtId="0" fontId="2" fillId="4" borderId="24" xfId="17" applyFont="1" applyFill="1" applyBorder="1" applyAlignment="1"/>
    <xf numFmtId="0" fontId="2" fillId="0" borderId="6" xfId="17" applyFont="1" applyFill="1" applyBorder="1" applyAlignment="1"/>
    <xf numFmtId="0" fontId="14" fillId="2" borderId="12" xfId="17" applyFont="1" applyFill="1" applyBorder="1" applyAlignment="1"/>
    <xf numFmtId="0" fontId="14" fillId="2" borderId="23" xfId="17" applyFont="1" applyFill="1" applyBorder="1" applyAlignment="1"/>
    <xf numFmtId="0" fontId="2" fillId="0" borderId="24" xfId="17" applyFont="1" applyFill="1" applyBorder="1" applyAlignment="1"/>
    <xf numFmtId="0" fontId="2" fillId="0" borderId="12" xfId="17" applyFont="1" applyFill="1" applyBorder="1" applyAlignment="1"/>
    <xf numFmtId="0" fontId="2" fillId="0" borderId="23" xfId="17" applyFont="1" applyFill="1" applyBorder="1" applyAlignment="1"/>
    <xf numFmtId="165" fontId="11" fillId="0" borderId="43" xfId="15" applyNumberFormat="1" applyFont="1" applyBorder="1" applyAlignment="1">
      <alignment horizontal="center" vertical="center"/>
    </xf>
    <xf numFmtId="0" fontId="2" fillId="4" borderId="5" xfId="17" applyFont="1" applyFill="1" applyBorder="1" applyAlignment="1"/>
    <xf numFmtId="0" fontId="2" fillId="4" borderId="37" xfId="17" applyFont="1" applyFill="1" applyBorder="1" applyAlignment="1"/>
    <xf numFmtId="0" fontId="2" fillId="4" borderId="36" xfId="17" applyFont="1" applyFill="1" applyBorder="1" applyAlignment="1"/>
    <xf numFmtId="0" fontId="2" fillId="0" borderId="4" xfId="17" applyFont="1" applyFill="1" applyBorder="1" applyAlignment="1"/>
    <xf numFmtId="0" fontId="14" fillId="2" borderId="5" xfId="17" applyFont="1" applyFill="1" applyBorder="1" applyAlignment="1"/>
    <xf numFmtId="0" fontId="14" fillId="2" borderId="37" xfId="17" applyFont="1" applyFill="1" applyBorder="1" applyAlignment="1"/>
    <xf numFmtId="0" fontId="2" fillId="0" borderId="36" xfId="17" applyFont="1" applyFill="1" applyBorder="1" applyAlignment="1"/>
    <xf numFmtId="0" fontId="2" fillId="0" borderId="5" xfId="17" applyFont="1" applyFill="1" applyBorder="1" applyAlignment="1"/>
    <xf numFmtId="0" fontId="2" fillId="0" borderId="37" xfId="17" applyFont="1" applyFill="1" applyBorder="1" applyAlignment="1"/>
    <xf numFmtId="165" fontId="11" fillId="0" borderId="16" xfId="15" applyNumberFormat="1" applyFont="1" applyBorder="1" applyAlignment="1">
      <alignment horizontal="center" vertical="center"/>
    </xf>
    <xf numFmtId="165" fontId="11" fillId="0" borderId="15" xfId="15" applyNumberFormat="1" applyFont="1" applyFill="1" applyBorder="1" applyAlignment="1">
      <alignment horizontal="center" vertical="center"/>
    </xf>
    <xf numFmtId="165" fontId="11" fillId="0" borderId="16" xfId="15" applyNumberFormat="1" applyFont="1" applyFill="1" applyBorder="1" applyAlignment="1">
      <alignment horizontal="center" vertical="center"/>
    </xf>
    <xf numFmtId="1" fontId="8" fillId="0" borderId="0" xfId="3" applyNumberFormat="1" applyFont="1" applyFill="1" applyBorder="1" applyAlignment="1">
      <alignment horizontal="center"/>
    </xf>
    <xf numFmtId="0" fontId="2" fillId="0" borderId="0" xfId="17" applyFont="1" applyFill="1" applyBorder="1"/>
    <xf numFmtId="0" fontId="10" fillId="0" borderId="0" xfId="17" applyFont="1" applyFill="1" applyBorder="1"/>
    <xf numFmtId="0" fontId="2" fillId="0" borderId="0" xfId="17" applyFont="1" applyFill="1" applyBorder="1" applyAlignment="1"/>
    <xf numFmtId="166" fontId="18" fillId="0" borderId="8" xfId="17" applyNumberFormat="1" applyFont="1" applyFill="1" applyBorder="1" applyAlignment="1">
      <alignment horizontal="left" wrapText="1"/>
    </xf>
    <xf numFmtId="0" fontId="19" fillId="0" borderId="10" xfId="10" applyFont="1" applyBorder="1" applyAlignment="1"/>
    <xf numFmtId="0" fontId="18" fillId="0" borderId="0" xfId="10" applyFont="1" applyBorder="1" applyAlignment="1">
      <alignment horizontal="left" vertical="top"/>
    </xf>
    <xf numFmtId="0" fontId="18" fillId="0" borderId="2" xfId="10" applyFont="1" applyBorder="1" applyAlignment="1">
      <alignment horizontal="left" vertical="top"/>
    </xf>
    <xf numFmtId="0" fontId="18" fillId="0" borderId="0" xfId="10" applyFont="1" applyFill="1" applyBorder="1" applyAlignment="1">
      <alignment horizontal="center" vertical="top"/>
    </xf>
    <xf numFmtId="0" fontId="19" fillId="0" borderId="2" xfId="17" applyFont="1" applyFill="1" applyBorder="1" applyAlignment="1"/>
    <xf numFmtId="1" fontId="18" fillId="0" borderId="1" xfId="3" applyNumberFormat="1" applyFont="1" applyFill="1" applyBorder="1" applyAlignment="1">
      <alignment vertical="top" wrapText="1"/>
    </xf>
    <xf numFmtId="1" fontId="18" fillId="0" borderId="2" xfId="3" applyNumberFormat="1" applyFont="1" applyFill="1" applyBorder="1" applyAlignment="1">
      <alignment vertical="top" wrapText="1"/>
    </xf>
    <xf numFmtId="0" fontId="18" fillId="0" borderId="2" xfId="10" applyFont="1" applyFill="1" applyBorder="1"/>
    <xf numFmtId="1" fontId="18" fillId="0" borderId="3" xfId="3" applyNumberFormat="1" applyFont="1" applyFill="1" applyBorder="1" applyAlignment="1">
      <alignment vertical="top" wrapText="1"/>
    </xf>
    <xf numFmtId="0" fontId="19" fillId="0" borderId="3" xfId="10" applyFont="1" applyBorder="1" applyAlignment="1">
      <alignment horizontal="left" vertical="top"/>
    </xf>
    <xf numFmtId="1" fontId="18" fillId="0" borderId="3" xfId="3" applyNumberFormat="1" applyFont="1" applyFill="1" applyBorder="1" applyAlignment="1">
      <alignment wrapText="1"/>
    </xf>
    <xf numFmtId="1" fontId="18" fillId="0" borderId="3" xfId="3" applyNumberFormat="1" applyFont="1" applyFill="1" applyBorder="1" applyAlignment="1">
      <alignment horizontal="center"/>
    </xf>
    <xf numFmtId="0" fontId="19" fillId="0" borderId="3" xfId="10" applyFont="1" applyBorder="1" applyAlignment="1"/>
    <xf numFmtId="166" fontId="18" fillId="0" borderId="3" xfId="17" applyNumberFormat="1" applyFont="1" applyFill="1" applyBorder="1" applyAlignment="1">
      <alignment horizontal="left"/>
    </xf>
    <xf numFmtId="1" fontId="18" fillId="0" borderId="3" xfId="3" applyNumberFormat="1" applyFont="1" applyFill="1" applyBorder="1" applyAlignment="1">
      <alignment horizontal="left"/>
    </xf>
    <xf numFmtId="0" fontId="19" fillId="0" borderId="3" xfId="17" applyFont="1" applyFill="1" applyBorder="1" applyAlignment="1"/>
    <xf numFmtId="0" fontId="22" fillId="0" borderId="1" xfId="17" applyFont="1" applyFill="1" applyBorder="1" applyAlignment="1">
      <alignment horizontal="center"/>
    </xf>
    <xf numFmtId="0" fontId="19" fillId="0" borderId="6" xfId="17" applyFont="1" applyFill="1" applyBorder="1" applyAlignment="1"/>
    <xf numFmtId="0" fontId="19" fillId="0" borderId="1" xfId="17" applyFont="1" applyFill="1" applyBorder="1" applyAlignment="1"/>
    <xf numFmtId="0" fontId="22" fillId="0" borderId="50" xfId="17" applyFont="1" applyFill="1" applyBorder="1" applyAlignment="1">
      <alignment horizontal="center"/>
    </xf>
    <xf numFmtId="1" fontId="22" fillId="0" borderId="18" xfId="3" applyNumberFormat="1" applyFont="1" applyFill="1" applyBorder="1" applyAlignment="1">
      <alignment horizontal="center"/>
    </xf>
    <xf numFmtId="0" fontId="9" fillId="0" borderId="18" xfId="10" applyFont="1" applyBorder="1" applyAlignment="1">
      <alignment horizontal="center"/>
    </xf>
    <xf numFmtId="0" fontId="14" fillId="4" borderId="0" xfId="17" applyFont="1" applyFill="1" applyBorder="1" applyAlignment="1"/>
    <xf numFmtId="0" fontId="14" fillId="4" borderId="3" xfId="17" applyFont="1" applyFill="1" applyBorder="1" applyAlignment="1"/>
    <xf numFmtId="0" fontId="14" fillId="2" borderId="3" xfId="17" applyFont="1" applyFill="1" applyBorder="1" applyAlignment="1"/>
    <xf numFmtId="0" fontId="14" fillId="4" borderId="1" xfId="17" applyFont="1" applyFill="1" applyBorder="1" applyAlignment="1"/>
    <xf numFmtId="0" fontId="14" fillId="2" borderId="6" xfId="17" applyFont="1" applyFill="1" applyBorder="1" applyAlignment="1"/>
    <xf numFmtId="0" fontId="14" fillId="4" borderId="22" xfId="17" applyFont="1" applyFill="1" applyBorder="1" applyAlignment="1"/>
    <xf numFmtId="0" fontId="14" fillId="4" borderId="8" xfId="17" applyFont="1" applyFill="1" applyBorder="1" applyAlignment="1"/>
    <xf numFmtId="0" fontId="14" fillId="2" borderId="8" xfId="17" applyFont="1" applyFill="1" applyBorder="1" applyAlignment="1"/>
    <xf numFmtId="0" fontId="14" fillId="4" borderId="9" xfId="17" applyFont="1" applyFill="1" applyBorder="1" applyAlignment="1"/>
    <xf numFmtId="0" fontId="14" fillId="2" borderId="4" xfId="17" applyFont="1" applyFill="1" applyBorder="1" applyAlignment="1"/>
    <xf numFmtId="165" fontId="11" fillId="0" borderId="15" xfId="15" applyNumberFormat="1" applyFont="1" applyBorder="1" applyAlignment="1">
      <alignment horizontal="center" vertical="center"/>
    </xf>
    <xf numFmtId="0" fontId="14" fillId="4" borderId="36" xfId="17" applyFont="1" applyFill="1" applyBorder="1" applyAlignment="1"/>
    <xf numFmtId="0" fontId="14" fillId="4" borderId="4" xfId="17" applyFont="1" applyFill="1" applyBorder="1" applyAlignment="1"/>
    <xf numFmtId="0" fontId="14" fillId="4" borderId="37" xfId="17" applyFont="1" applyFill="1" applyBorder="1" applyAlignment="1"/>
    <xf numFmtId="165" fontId="11" fillId="0" borderId="14" xfId="15" applyNumberFormat="1" applyFont="1" applyFill="1" applyBorder="1" applyAlignment="1">
      <alignment horizontal="center" vertical="center"/>
    </xf>
    <xf numFmtId="0" fontId="10" fillId="0" borderId="3" xfId="17" applyFont="1" applyFill="1" applyBorder="1"/>
    <xf numFmtId="0" fontId="14" fillId="2" borderId="6" xfId="17" quotePrefix="1" applyFont="1" applyFill="1" applyBorder="1" applyAlignment="1">
      <alignment horizontal="center"/>
    </xf>
    <xf numFmtId="0" fontId="14" fillId="2" borderId="4" xfId="17" quotePrefix="1" applyFont="1" applyFill="1" applyBorder="1" applyAlignment="1">
      <alignment horizontal="center"/>
    </xf>
    <xf numFmtId="0" fontId="6" fillId="0" borderId="0" xfId="17" applyFont="1"/>
    <xf numFmtId="0" fontId="0" fillId="7" borderId="0" xfId="0" applyFill="1"/>
    <xf numFmtId="1" fontId="11" fillId="7" borderId="0" xfId="3" applyNumberFormat="1" applyFont="1" applyFill="1" applyBorder="1" applyAlignment="1">
      <alignment horizontal="left" vertical="center"/>
    </xf>
    <xf numFmtId="49" fontId="11" fillId="7" borderId="0" xfId="3" applyNumberFormat="1" applyFont="1" applyFill="1" applyBorder="1" applyAlignment="1">
      <alignment horizontal="left" vertical="center"/>
    </xf>
    <xf numFmtId="0" fontId="0" fillId="7" borderId="2" xfId="0" applyFill="1" applyBorder="1"/>
    <xf numFmtId="0" fontId="0" fillId="7" borderId="4" xfId="0" applyFill="1" applyBorder="1"/>
    <xf numFmtId="0" fontId="18" fillId="7" borderId="10" xfId="0" applyFont="1" applyFill="1" applyBorder="1" applyAlignment="1"/>
    <xf numFmtId="166" fontId="18" fillId="7" borderId="8" xfId="17" applyNumberFormat="1" applyFont="1" applyFill="1" applyBorder="1" applyAlignment="1">
      <alignment horizontal="left"/>
    </xf>
    <xf numFmtId="166" fontId="18" fillId="7" borderId="8" xfId="17" applyNumberFormat="1" applyFont="1" applyFill="1" applyBorder="1" applyAlignment="1">
      <alignment horizontal="left" vertical="top"/>
    </xf>
    <xf numFmtId="0" fontId="18" fillId="7" borderId="0" xfId="0" applyFont="1" applyFill="1" applyBorder="1"/>
    <xf numFmtId="0" fontId="18" fillId="7" borderId="1" xfId="0" applyFont="1" applyFill="1" applyBorder="1"/>
    <xf numFmtId="0" fontId="18" fillId="7" borderId="2" xfId="0" applyFont="1" applyFill="1" applyBorder="1"/>
    <xf numFmtId="0" fontId="18" fillId="7" borderId="3" xfId="0" applyFont="1" applyFill="1" applyBorder="1"/>
    <xf numFmtId="0" fontId="18" fillId="7" borderId="3" xfId="17" applyFont="1" applyFill="1" applyBorder="1" applyAlignment="1"/>
    <xf numFmtId="0" fontId="0" fillId="7" borderId="3" xfId="0" applyFill="1" applyBorder="1"/>
    <xf numFmtId="0" fontId="18" fillId="7" borderId="2" xfId="17" applyFont="1" applyFill="1" applyBorder="1" applyAlignment="1"/>
    <xf numFmtId="0" fontId="19" fillId="7" borderId="0" xfId="0" applyFont="1" applyFill="1"/>
    <xf numFmtId="0" fontId="18" fillId="7" borderId="3" xfId="0" applyFont="1" applyFill="1" applyBorder="1" applyAlignment="1">
      <alignment vertical="top" wrapText="1"/>
    </xf>
    <xf numFmtId="0" fontId="18" fillId="7" borderId="1" xfId="0" applyFont="1" applyFill="1" applyBorder="1" applyAlignment="1">
      <alignment horizontal="left" vertical="top"/>
    </xf>
    <xf numFmtId="0" fontId="0" fillId="7" borderId="6" xfId="0" applyFill="1" applyBorder="1"/>
    <xf numFmtId="0" fontId="18" fillId="7" borderId="9" xfId="0" applyFont="1" applyFill="1" applyBorder="1"/>
    <xf numFmtId="0" fontId="18" fillId="7" borderId="10" xfId="0" applyFont="1" applyFill="1" applyBorder="1"/>
    <xf numFmtId="0" fontId="22" fillId="7" borderId="6" xfId="0" applyFont="1" applyFill="1" applyBorder="1" applyAlignment="1">
      <alignment horizontal="center"/>
    </xf>
    <xf numFmtId="0" fontId="22" fillId="7" borderId="4" xfId="0" applyFont="1" applyFill="1" applyBorder="1" applyAlignment="1">
      <alignment horizontal="center"/>
    </xf>
    <xf numFmtId="0" fontId="22" fillId="7" borderId="51" xfId="0" applyFont="1" applyFill="1" applyBorder="1" applyAlignment="1">
      <alignment horizontal="center"/>
    </xf>
    <xf numFmtId="0" fontId="22" fillId="7" borderId="3" xfId="17" applyFont="1" applyFill="1" applyBorder="1" applyAlignment="1">
      <alignment horizontal="center"/>
    </xf>
    <xf numFmtId="0" fontId="19" fillId="7" borderId="6" xfId="0" applyFont="1" applyFill="1" applyBorder="1" applyAlignment="1"/>
    <xf numFmtId="0" fontId="19" fillId="7" borderId="23" xfId="0" applyFont="1" applyFill="1" applyBorder="1" applyAlignment="1">
      <alignment horizontal="center"/>
    </xf>
    <xf numFmtId="0" fontId="19" fillId="7" borderId="12" xfId="0" applyFont="1" applyFill="1" applyBorder="1" applyAlignment="1">
      <alignment horizontal="center"/>
    </xf>
    <xf numFmtId="0" fontId="19" fillId="7" borderId="6" xfId="0" applyFont="1" applyFill="1" applyBorder="1"/>
    <xf numFmtId="0" fontId="19" fillId="7" borderId="24" xfId="0" applyFont="1" applyFill="1" applyBorder="1"/>
    <xf numFmtId="0" fontId="19" fillId="7" borderId="12" xfId="0" applyFont="1" applyFill="1" applyBorder="1"/>
    <xf numFmtId="0" fontId="22" fillId="7" borderId="4" xfId="17" applyFont="1" applyFill="1" applyBorder="1" applyAlignment="1">
      <alignment horizontal="center"/>
    </xf>
    <xf numFmtId="0" fontId="18" fillId="7" borderId="36" xfId="0" applyFont="1" applyFill="1" applyBorder="1"/>
    <xf numFmtId="0" fontId="18" fillId="7" borderId="4" xfId="0" applyFont="1" applyFill="1" applyBorder="1"/>
    <xf numFmtId="0" fontId="18" fillId="7" borderId="5" xfId="0" applyFont="1" applyFill="1" applyBorder="1"/>
    <xf numFmtId="0" fontId="19" fillId="7" borderId="4" xfId="0" applyFont="1" applyFill="1" applyBorder="1" applyAlignment="1"/>
    <xf numFmtId="0" fontId="19" fillId="7" borderId="3" xfId="0" applyFont="1" applyFill="1" applyBorder="1"/>
    <xf numFmtId="0" fontId="19" fillId="7" borderId="0" xfId="0" applyFont="1" applyFill="1" applyBorder="1"/>
    <xf numFmtId="0" fontId="19" fillId="7" borderId="2" xfId="0" applyFont="1" applyFill="1" applyBorder="1"/>
    <xf numFmtId="0" fontId="19" fillId="7" borderId="4" xfId="0" applyFont="1" applyFill="1" applyBorder="1"/>
    <xf numFmtId="0" fontId="19" fillId="7" borderId="36" xfId="0" applyFont="1" applyFill="1" applyBorder="1"/>
    <xf numFmtId="0" fontId="19" fillId="7" borderId="5" xfId="0" applyFont="1" applyFill="1" applyBorder="1"/>
    <xf numFmtId="0" fontId="19" fillId="7" borderId="37" xfId="0" applyFont="1" applyFill="1" applyBorder="1"/>
    <xf numFmtId="166" fontId="18" fillId="0" borderId="8" xfId="17" applyNumberFormat="1" applyFont="1" applyBorder="1" applyAlignment="1">
      <alignment horizontal="left"/>
    </xf>
    <xf numFmtId="166" fontId="18" fillId="0" borderId="8" xfId="17" applyNumberFormat="1" applyFont="1" applyBorder="1" applyAlignment="1">
      <alignment horizontal="left" vertical="top"/>
    </xf>
    <xf numFmtId="0" fontId="18" fillId="0" borderId="6" xfId="0" applyFont="1" applyBorder="1" applyAlignment="1"/>
    <xf numFmtId="0" fontId="18" fillId="0" borderId="3" xfId="0" applyFont="1" applyBorder="1"/>
    <xf numFmtId="0" fontId="18" fillId="0" borderId="5" xfId="0" applyFont="1" applyBorder="1"/>
    <xf numFmtId="0" fontId="18" fillId="0" borderId="36" xfId="0" applyFont="1" applyBorder="1"/>
    <xf numFmtId="0" fontId="18" fillId="0" borderId="22" xfId="0" applyFont="1" applyFill="1" applyBorder="1"/>
    <xf numFmtId="0" fontId="18" fillId="0" borderId="2" xfId="0" applyFont="1" applyFill="1" applyBorder="1"/>
    <xf numFmtId="0" fontId="18" fillId="0" borderId="1" xfId="0" applyFont="1" applyFill="1" applyBorder="1" applyAlignment="1">
      <alignment horizontal="left" vertical="top"/>
    </xf>
    <xf numFmtId="0" fontId="18" fillId="0" borderId="0" xfId="0" applyFont="1" applyFill="1" applyBorder="1" applyAlignment="1">
      <alignment horizontal="left"/>
    </xf>
    <xf numFmtId="0" fontId="18" fillId="0" borderId="2" xfId="0" applyFont="1" applyFill="1" applyBorder="1" applyAlignment="1">
      <alignment horizontal="left"/>
    </xf>
    <xf numFmtId="0" fontId="18" fillId="0" borderId="1" xfId="0" applyFont="1" applyFill="1" applyBorder="1" applyAlignment="1">
      <alignment horizontal="left"/>
    </xf>
    <xf numFmtId="0" fontId="22" fillId="0" borderId="52" xfId="0" applyFont="1" applyFill="1" applyBorder="1" applyAlignment="1">
      <alignment horizontal="center"/>
    </xf>
    <xf numFmtId="0" fontId="22" fillId="0" borderId="51" xfId="0" applyFont="1" applyFill="1" applyBorder="1" applyAlignment="1">
      <alignment horizontal="center"/>
    </xf>
    <xf numFmtId="0" fontId="22" fillId="0" borderId="53" xfId="0" applyFont="1" applyFill="1" applyBorder="1" applyAlignment="1">
      <alignment horizontal="center"/>
    </xf>
    <xf numFmtId="0" fontId="22" fillId="0" borderId="54" xfId="0" applyFont="1" applyFill="1" applyBorder="1" applyAlignment="1">
      <alignment horizontal="center"/>
    </xf>
    <xf numFmtId="0" fontId="22" fillId="0" borderId="18" xfId="0" applyFont="1" applyFill="1" applyBorder="1" applyAlignment="1">
      <alignment horizontal="center"/>
    </xf>
    <xf numFmtId="0" fontId="18" fillId="0" borderId="52" xfId="0" applyFont="1" applyFill="1" applyBorder="1" applyAlignment="1">
      <alignment horizontal="center" vertical="top" wrapText="1"/>
    </xf>
    <xf numFmtId="0" fontId="18" fillId="0" borderId="18" xfId="0" applyFont="1" applyFill="1" applyBorder="1" applyAlignment="1">
      <alignment horizontal="center"/>
    </xf>
    <xf numFmtId="0" fontId="18" fillId="0" borderId="54" xfId="0" applyFont="1" applyFill="1" applyBorder="1" applyAlignment="1">
      <alignment horizontal="center"/>
    </xf>
    <xf numFmtId="0" fontId="18" fillId="0" borderId="44" xfId="0" applyFont="1" applyFill="1" applyBorder="1" applyAlignment="1">
      <alignment horizontal="center"/>
    </xf>
    <xf numFmtId="0" fontId="18" fillId="0" borderId="51" xfId="0" applyFont="1" applyFill="1" applyBorder="1" applyAlignment="1">
      <alignment horizontal="center"/>
    </xf>
    <xf numFmtId="0" fontId="18" fillId="0" borderId="53" xfId="0" applyFont="1" applyFill="1" applyBorder="1" applyAlignment="1">
      <alignment horizontal="center"/>
    </xf>
    <xf numFmtId="0" fontId="0" fillId="0" borderId="1" xfId="0" applyFill="1" applyBorder="1" applyAlignment="1">
      <alignment horizontal="center"/>
    </xf>
    <xf numFmtId="0" fontId="0" fillId="0" borderId="3" xfId="0" applyFill="1" applyBorder="1"/>
    <xf numFmtId="0" fontId="0" fillId="0" borderId="2" xfId="0" applyFill="1" applyBorder="1"/>
    <xf numFmtId="0" fontId="0" fillId="0" borderId="1" xfId="0" applyFill="1" applyBorder="1"/>
    <xf numFmtId="0" fontId="0" fillId="0" borderId="0" xfId="0" applyFill="1" applyBorder="1"/>
    <xf numFmtId="0" fontId="0" fillId="0" borderId="3" xfId="0" applyFill="1" applyBorder="1" applyAlignment="1"/>
    <xf numFmtId="0" fontId="0" fillId="0" borderId="2" xfId="0" applyFill="1" applyBorder="1" applyAlignment="1"/>
    <xf numFmtId="0" fontId="0" fillId="0" borderId="1" xfId="0" applyFill="1" applyBorder="1" applyAlignment="1"/>
    <xf numFmtId="0" fontId="0" fillId="0" borderId="3" xfId="0" applyFill="1" applyBorder="1" applyAlignment="1">
      <alignment horizontal="center"/>
    </xf>
    <xf numFmtId="0" fontId="0" fillId="0" borderId="37" xfId="0" applyFill="1" applyBorder="1" applyAlignment="1">
      <alignment horizontal="center"/>
    </xf>
    <xf numFmtId="0" fontId="0" fillId="0" borderId="37" xfId="0" applyFill="1" applyBorder="1"/>
    <xf numFmtId="0" fontId="0" fillId="0" borderId="36" xfId="0" applyFill="1" applyBorder="1"/>
    <xf numFmtId="0" fontId="0" fillId="0" borderId="4" xfId="0" applyFill="1" applyBorder="1"/>
    <xf numFmtId="0" fontId="0" fillId="0" borderId="5" xfId="0" applyFill="1" applyBorder="1"/>
    <xf numFmtId="0" fontId="0" fillId="0" borderId="4" xfId="0" applyFill="1" applyBorder="1" applyAlignment="1"/>
    <xf numFmtId="0" fontId="0" fillId="0" borderId="5" xfId="0" applyFill="1" applyBorder="1" applyAlignment="1"/>
    <xf numFmtId="0" fontId="0" fillId="0" borderId="37" xfId="0" applyFill="1" applyBorder="1" applyAlignment="1"/>
    <xf numFmtId="0" fontId="0" fillId="0" borderId="4" xfId="0" applyFill="1" applyBorder="1" applyAlignment="1">
      <alignment horizontal="center"/>
    </xf>
    <xf numFmtId="0" fontId="0" fillId="0" borderId="9" xfId="0" applyBorder="1"/>
    <xf numFmtId="0" fontId="0" fillId="0" borderId="8" xfId="0" applyBorder="1"/>
    <xf numFmtId="0" fontId="0" fillId="0" borderId="37" xfId="0" applyBorder="1"/>
    <xf numFmtId="0" fontId="7" fillId="0" borderId="0" xfId="17" applyFont="1" applyAlignment="1">
      <alignment vertical="center"/>
    </xf>
    <xf numFmtId="0" fontId="18" fillId="0" borderId="0" xfId="17" applyFont="1" applyBorder="1" applyAlignment="1">
      <alignment vertical="top" wrapText="1"/>
    </xf>
    <xf numFmtId="0" fontId="22" fillId="2" borderId="0" xfId="0" applyFont="1" applyFill="1" applyBorder="1"/>
    <xf numFmtId="0" fontId="0" fillId="0" borderId="2" xfId="0" applyBorder="1"/>
    <xf numFmtId="0" fontId="4" fillId="0" borderId="0" xfId="0" applyFont="1" applyBorder="1" applyAlignment="1">
      <alignment vertical="top" wrapText="1"/>
    </xf>
    <xf numFmtId="0" fontId="22" fillId="7" borderId="3" xfId="0" applyFont="1" applyFill="1" applyBorder="1" applyAlignment="1">
      <alignment vertical="top" wrapText="1"/>
    </xf>
    <xf numFmtId="0" fontId="18" fillId="0" borderId="0" xfId="17" applyFont="1" applyBorder="1"/>
    <xf numFmtId="0" fontId="18" fillId="0" borderId="1" xfId="17" applyFont="1" applyFill="1" applyBorder="1" applyAlignment="1">
      <alignment horizontal="center"/>
    </xf>
    <xf numFmtId="0" fontId="12" fillId="0" borderId="0" xfId="0" applyFont="1" applyAlignment="1">
      <alignment vertical="center"/>
    </xf>
    <xf numFmtId="0" fontId="12" fillId="0" borderId="3" xfId="0" applyFont="1" applyBorder="1" applyAlignment="1">
      <alignment vertical="center"/>
    </xf>
    <xf numFmtId="0" fontId="10" fillId="0" borderId="0" xfId="0" applyFont="1" applyAlignment="1">
      <alignment horizontal="left"/>
    </xf>
    <xf numFmtId="0" fontId="10" fillId="0" borderId="3" xfId="0" applyFont="1" applyBorder="1" applyAlignment="1">
      <alignment horizontal="left"/>
    </xf>
    <xf numFmtId="0" fontId="0" fillId="7" borderId="0" xfId="0" applyFill="1" applyBorder="1"/>
    <xf numFmtId="0" fontId="10" fillId="7" borderId="1" xfId="0" applyFont="1" applyFill="1" applyBorder="1" applyAlignment="1">
      <alignment textRotation="90"/>
    </xf>
    <xf numFmtId="0" fontId="10" fillId="7" borderId="0" xfId="0" applyFont="1" applyFill="1" applyBorder="1" applyAlignment="1">
      <alignment textRotation="90"/>
    </xf>
    <xf numFmtId="0" fontId="10" fillId="7" borderId="2" xfId="0" applyFont="1" applyFill="1" applyBorder="1" applyAlignment="1">
      <alignment textRotation="90"/>
    </xf>
    <xf numFmtId="0" fontId="22" fillId="0" borderId="3" xfId="0" applyFont="1" applyBorder="1" applyAlignment="1">
      <alignment vertical="center" wrapText="1"/>
    </xf>
    <xf numFmtId="0" fontId="0" fillId="0" borderId="3" xfId="0" applyBorder="1"/>
    <xf numFmtId="166" fontId="6" fillId="0" borderId="0" xfId="17" applyNumberFormat="1" applyFont="1" applyAlignment="1"/>
    <xf numFmtId="0" fontId="5" fillId="0" borderId="0" xfId="17" applyFont="1" applyAlignment="1">
      <alignment horizontal="left"/>
    </xf>
    <xf numFmtId="0" fontId="5" fillId="0" borderId="0" xfId="17" applyFont="1" applyAlignment="1"/>
    <xf numFmtId="0" fontId="4" fillId="0" borderId="0" xfId="17" applyFont="1" applyAlignment="1">
      <alignment horizontal="left"/>
    </xf>
    <xf numFmtId="166" fontId="5" fillId="0" borderId="0" xfId="17" applyNumberFormat="1" applyFont="1" applyAlignment="1"/>
    <xf numFmtId="166" fontId="11" fillId="0" borderId="0" xfId="17" applyNumberFormat="1" applyFont="1" applyAlignment="1"/>
    <xf numFmtId="0" fontId="3" fillId="0" borderId="0" xfId="17" applyFont="1" applyAlignment="1">
      <alignment horizontal="left"/>
    </xf>
    <xf numFmtId="0" fontId="3" fillId="0" borderId="0" xfId="17" applyFont="1" applyAlignment="1"/>
    <xf numFmtId="0" fontId="3" fillId="2" borderId="0" xfId="17" applyFont="1" applyFill="1" applyAlignment="1"/>
    <xf numFmtId="0" fontId="3" fillId="2" borderId="0" xfId="17" applyFont="1" applyFill="1" applyAlignment="1">
      <alignment horizontal="left"/>
    </xf>
    <xf numFmtId="166" fontId="3" fillId="0" borderId="0" xfId="17" applyNumberFormat="1" applyFont="1" applyAlignment="1"/>
    <xf numFmtId="0" fontId="3" fillId="0" borderId="0" xfId="17" applyFont="1" applyAlignment="1">
      <alignment horizontal="right"/>
    </xf>
    <xf numFmtId="0" fontId="3" fillId="0" borderId="0" xfId="17" applyFont="1" applyBorder="1" applyAlignment="1"/>
    <xf numFmtId="166" fontId="22" fillId="0" borderId="0" xfId="17" applyNumberFormat="1" applyFont="1" applyFill="1" applyBorder="1" applyAlignment="1"/>
    <xf numFmtId="0" fontId="18" fillId="0" borderId="22" xfId="17" applyFont="1" applyFill="1" applyBorder="1" applyAlignment="1">
      <alignment horizontal="left"/>
    </xf>
    <xf numFmtId="166" fontId="22" fillId="0" borderId="22" xfId="17" applyNumberFormat="1" applyFont="1" applyFill="1" applyBorder="1" applyAlignment="1"/>
    <xf numFmtId="0" fontId="18" fillId="0" borderId="0" xfId="17" applyFont="1" applyAlignment="1"/>
    <xf numFmtId="166" fontId="22" fillId="0" borderId="1" xfId="17" applyNumberFormat="1" applyFont="1" applyFill="1" applyBorder="1" applyAlignment="1"/>
    <xf numFmtId="0" fontId="18" fillId="0" borderId="0" xfId="17" applyFont="1" applyFill="1" applyBorder="1" applyAlignment="1">
      <alignment horizontal="left"/>
    </xf>
    <xf numFmtId="0" fontId="18" fillId="0" borderId="0" xfId="17" applyFont="1" applyBorder="1" applyAlignment="1"/>
    <xf numFmtId="0" fontId="22" fillId="0" borderId="0" xfId="17" applyFont="1" applyFill="1" applyBorder="1" applyAlignment="1">
      <alignment horizontal="left"/>
    </xf>
    <xf numFmtId="0" fontId="18" fillId="0" borderId="1" xfId="17" applyFont="1" applyBorder="1" applyAlignment="1"/>
    <xf numFmtId="0" fontId="18" fillId="0" borderId="0" xfId="17" applyFont="1" applyBorder="1" applyAlignment="1">
      <alignment horizontal="left"/>
    </xf>
    <xf numFmtId="166" fontId="22" fillId="0" borderId="23" xfId="17" applyNumberFormat="1" applyFont="1" applyFill="1" applyBorder="1" applyAlignment="1"/>
    <xf numFmtId="0" fontId="18" fillId="0" borderId="24" xfId="17" applyFont="1" applyFill="1" applyBorder="1" applyAlignment="1"/>
    <xf numFmtId="0" fontId="22" fillId="0" borderId="0" xfId="17" applyFont="1" applyFill="1" applyBorder="1" applyAlignment="1">
      <alignment horizontal="right"/>
    </xf>
    <xf numFmtId="166" fontId="18" fillId="0" borderId="0" xfId="17" applyNumberFormat="1" applyFont="1" applyBorder="1" applyAlignment="1"/>
    <xf numFmtId="0" fontId="18" fillId="0" borderId="2" xfId="17" applyFont="1" applyBorder="1" applyAlignment="1"/>
    <xf numFmtId="0" fontId="18" fillId="0" borderId="23" xfId="17" applyFont="1" applyFill="1" applyBorder="1" applyAlignment="1"/>
    <xf numFmtId="0" fontId="18" fillId="0" borderId="24" xfId="17" applyFont="1" applyFill="1" applyBorder="1" applyAlignment="1">
      <alignment horizontal="right"/>
    </xf>
    <xf numFmtId="166" fontId="18" fillId="0" borderId="24" xfId="17" applyNumberFormat="1" applyFont="1" applyFill="1" applyBorder="1" applyAlignment="1"/>
    <xf numFmtId="166" fontId="18" fillId="0" borderId="0" xfId="17" applyNumberFormat="1" applyFont="1" applyFill="1" applyBorder="1" applyAlignment="1"/>
    <xf numFmtId="0" fontId="18" fillId="0" borderId="22" xfId="17" applyFont="1" applyBorder="1" applyAlignment="1"/>
    <xf numFmtId="0" fontId="18" fillId="0" borderId="0" xfId="17" applyFont="1" applyFill="1" applyBorder="1" applyAlignment="1">
      <alignment horizontal="right"/>
    </xf>
    <xf numFmtId="0" fontId="18" fillId="0" borderId="24" xfId="17" applyFont="1" applyBorder="1" applyAlignment="1"/>
    <xf numFmtId="0" fontId="18" fillId="0" borderId="12" xfId="17" applyFont="1" applyBorder="1" applyAlignment="1"/>
    <xf numFmtId="0" fontId="18" fillId="0" borderId="22" xfId="17" applyFont="1" applyBorder="1" applyAlignment="1">
      <alignment horizontal="left"/>
    </xf>
    <xf numFmtId="166" fontId="22" fillId="0" borderId="1" xfId="17" applyNumberFormat="1" applyFont="1" applyFill="1" applyBorder="1" applyAlignment="1">
      <alignment horizontal="left"/>
    </xf>
    <xf numFmtId="0" fontId="18" fillId="0" borderId="0" xfId="17" applyFont="1" applyFill="1" applyAlignment="1"/>
    <xf numFmtId="0" fontId="22" fillId="0" borderId="24" xfId="17" applyFont="1" applyFill="1" applyBorder="1" applyAlignment="1">
      <alignment horizontal="right"/>
    </xf>
    <xf numFmtId="0" fontId="18" fillId="0" borderId="23" xfId="17" applyFont="1" applyBorder="1" applyAlignment="1"/>
    <xf numFmtId="0" fontId="22" fillId="0" borderId="0" xfId="17" applyFont="1" applyBorder="1" applyAlignment="1"/>
    <xf numFmtId="0" fontId="18" fillId="0" borderId="2" xfId="0" applyFont="1" applyBorder="1" applyAlignment="1"/>
    <xf numFmtId="166" fontId="18" fillId="0" borderId="1" xfId="17" applyNumberFormat="1" applyFont="1" applyBorder="1" applyAlignment="1"/>
    <xf numFmtId="1" fontId="6" fillId="0" borderId="0" xfId="2" applyNumberFormat="1" applyFont="1" applyFill="1" applyBorder="1" applyAlignment="1">
      <alignment horizontal="left" vertical="center"/>
    </xf>
    <xf numFmtId="1" fontId="11" fillId="0" borderId="0" xfId="2" applyNumberFormat="1" applyFont="1" applyFill="1" applyBorder="1" applyAlignment="1">
      <alignment horizontal="left" vertical="center"/>
    </xf>
    <xf numFmtId="0" fontId="18" fillId="0" borderId="6" xfId="0" applyFont="1" applyBorder="1"/>
    <xf numFmtId="0" fontId="7" fillId="2" borderId="24" xfId="17" applyFont="1" applyFill="1" applyBorder="1" applyAlignment="1"/>
    <xf numFmtId="166" fontId="22" fillId="2" borderId="0" xfId="17" applyNumberFormat="1" applyFont="1" applyFill="1" applyBorder="1" applyAlignment="1">
      <alignment horizontal="left"/>
    </xf>
    <xf numFmtId="166" fontId="22" fillId="0" borderId="8" xfId="17" applyNumberFormat="1" applyFont="1" applyFill="1" applyBorder="1" applyAlignment="1">
      <alignment horizontal="left"/>
    </xf>
    <xf numFmtId="0" fontId="60" fillId="0" borderId="0" xfId="0" applyFont="1"/>
    <xf numFmtId="0" fontId="60" fillId="0" borderId="0" xfId="0" applyFont="1" applyBorder="1"/>
    <xf numFmtId="166" fontId="18" fillId="0" borderId="15" xfId="17" applyNumberFormat="1" applyFont="1" applyFill="1" applyBorder="1" applyAlignment="1">
      <alignment horizontal="left"/>
    </xf>
    <xf numFmtId="0" fontId="60" fillId="0" borderId="5" xfId="0" applyFont="1" applyBorder="1"/>
    <xf numFmtId="166" fontId="18" fillId="0" borderId="4" xfId="17" applyNumberFormat="1" applyFont="1" applyFill="1" applyBorder="1" applyAlignment="1">
      <alignment horizontal="left"/>
    </xf>
    <xf numFmtId="0" fontId="22" fillId="0" borderId="18" xfId="10" applyFont="1" applyFill="1" applyBorder="1" applyAlignment="1">
      <alignment horizontal="center" wrapText="1"/>
    </xf>
    <xf numFmtId="0" fontId="18" fillId="0" borderId="4" xfId="10" applyFont="1" applyFill="1" applyBorder="1" applyAlignment="1">
      <alignment horizontal="center"/>
    </xf>
    <xf numFmtId="0" fontId="61" fillId="0" borderId="4" xfId="0" applyFont="1" applyBorder="1"/>
    <xf numFmtId="0" fontId="22" fillId="0" borderId="55" xfId="10" applyFont="1" applyFill="1" applyBorder="1" applyAlignment="1">
      <alignment horizontal="center" vertical="center" wrapText="1"/>
    </xf>
    <xf numFmtId="0" fontId="18" fillId="0" borderId="5" xfId="0" applyFont="1" applyBorder="1" applyAlignment="1">
      <alignment horizontal="left" vertical="top" wrapText="1"/>
    </xf>
    <xf numFmtId="0" fontId="61" fillId="0" borderId="4" xfId="0" applyFont="1" applyBorder="1" applyAlignment="1">
      <alignment vertical="top" wrapText="1"/>
    </xf>
    <xf numFmtId="0" fontId="61" fillId="0" borderId="1" xfId="0" applyFont="1" applyBorder="1" applyAlignment="1">
      <alignment wrapText="1"/>
    </xf>
    <xf numFmtId="0" fontId="22" fillId="0" borderId="51" xfId="10" applyFont="1" applyFill="1" applyBorder="1" applyAlignment="1">
      <alignment horizontal="center" vertical="center" wrapText="1"/>
    </xf>
    <xf numFmtId="0" fontId="18" fillId="0" borderId="5" xfId="0" applyFont="1" applyBorder="1" applyAlignment="1">
      <alignment vertical="top" wrapText="1"/>
    </xf>
    <xf numFmtId="0" fontId="6" fillId="0" borderId="0" xfId="10" applyFont="1" applyFill="1"/>
    <xf numFmtId="0" fontId="8" fillId="0" borderId="0" xfId="10" applyFont="1" applyFill="1"/>
    <xf numFmtId="0" fontId="13" fillId="0" borderId="0" xfId="10" applyFont="1" applyFill="1" applyAlignment="1">
      <alignment horizontal="center"/>
    </xf>
    <xf numFmtId="0" fontId="13" fillId="0" borderId="0" xfId="10" applyFont="1" applyFill="1"/>
    <xf numFmtId="0" fontId="4" fillId="0" borderId="0" xfId="10" applyFont="1" applyFill="1"/>
    <xf numFmtId="0" fontId="10" fillId="0" borderId="1" xfId="10" applyFont="1" applyFill="1" applyBorder="1" applyAlignment="1">
      <alignment wrapText="1"/>
    </xf>
    <xf numFmtId="0" fontId="10" fillId="0" borderId="0" xfId="10" applyFont="1" applyFill="1" applyBorder="1" applyAlignment="1">
      <alignment wrapText="1"/>
    </xf>
    <xf numFmtId="0" fontId="10" fillId="0" borderId="2" xfId="10" applyFont="1" applyFill="1" applyBorder="1" applyAlignment="1">
      <alignment wrapText="1"/>
    </xf>
    <xf numFmtId="0" fontId="22" fillId="0" borderId="3" xfId="10" applyFont="1" applyFill="1" applyBorder="1" applyAlignment="1">
      <alignment horizontal="center" vertical="center" wrapText="1"/>
    </xf>
    <xf numFmtId="0" fontId="13" fillId="0" borderId="0" xfId="10" applyFont="1" applyFill="1" applyBorder="1"/>
    <xf numFmtId="0" fontId="6" fillId="2" borderId="0" xfId="17" applyFont="1" applyFill="1" applyAlignment="1">
      <alignment horizontal="left" vertical="center"/>
    </xf>
    <xf numFmtId="0" fontId="62" fillId="0" borderId="3" xfId="17" applyFont="1" applyFill="1" applyBorder="1" applyAlignment="1">
      <alignment vertical="top" wrapText="1"/>
    </xf>
    <xf numFmtId="0" fontId="56" fillId="0" borderId="3" xfId="0" applyFont="1" applyBorder="1" applyAlignment="1">
      <alignment vertical="top" wrapText="1"/>
    </xf>
    <xf numFmtId="0" fontId="18" fillId="0" borderId="0" xfId="17" applyFont="1" applyBorder="1" applyAlignment="1">
      <alignment wrapText="1"/>
    </xf>
    <xf numFmtId="0" fontId="18" fillId="0" borderId="3" xfId="17" applyFont="1" applyFill="1" applyBorder="1" applyAlignment="1">
      <alignment textRotation="90"/>
    </xf>
    <xf numFmtId="0" fontId="18" fillId="0" borderId="51" xfId="17" applyFont="1" applyFill="1" applyBorder="1" applyAlignment="1">
      <alignment textRotation="90"/>
    </xf>
    <xf numFmtId="1" fontId="18" fillId="0" borderId="3" xfId="3" applyNumberFormat="1" applyFont="1" applyFill="1" applyBorder="1" applyAlignment="1">
      <alignment vertical="top"/>
    </xf>
    <xf numFmtId="0" fontId="19" fillId="0" borderId="3" xfId="0" applyFont="1" applyBorder="1" applyAlignment="1">
      <alignment horizontal="left" vertical="top"/>
    </xf>
    <xf numFmtId="0" fontId="18" fillId="2" borderId="6" xfId="17" applyFont="1" applyFill="1" applyBorder="1" applyAlignment="1">
      <alignment horizontal="left" vertical="top" wrapText="1"/>
    </xf>
    <xf numFmtId="0" fontId="19" fillId="0" borderId="6" xfId="0" applyFont="1" applyBorder="1" applyAlignment="1">
      <alignment vertical="top"/>
    </xf>
    <xf numFmtId="0" fontId="9" fillId="0" borderId="3" xfId="0" applyFont="1" applyBorder="1" applyAlignment="1">
      <alignment vertical="top"/>
    </xf>
    <xf numFmtId="0" fontId="22" fillId="2" borderId="3" xfId="17" applyNumberFormat="1" applyFont="1" applyFill="1" applyBorder="1" applyAlignment="1">
      <alignment horizontal="center" vertical="top"/>
    </xf>
    <xf numFmtId="0" fontId="22" fillId="2" borderId="3" xfId="17" applyFont="1" applyFill="1" applyBorder="1" applyAlignment="1">
      <alignment horizontal="left" vertical="top" wrapText="1"/>
    </xf>
    <xf numFmtId="0" fontId="18" fillId="2" borderId="3" xfId="17" applyFont="1" applyFill="1" applyBorder="1" applyAlignment="1">
      <alignment horizontal="center" vertical="top"/>
    </xf>
    <xf numFmtId="0" fontId="18" fillId="0" borderId="3" xfId="0" applyFont="1" applyBorder="1" applyAlignment="1">
      <alignment horizontal="center" vertical="top"/>
    </xf>
    <xf numFmtId="0" fontId="18" fillId="0" borderId="3" xfId="0" applyFont="1" applyBorder="1" applyAlignment="1">
      <alignment horizontal="left" vertical="top"/>
    </xf>
    <xf numFmtId="0" fontId="18" fillId="0" borderId="6" xfId="0" applyFont="1" applyBorder="1" applyAlignment="1">
      <alignment horizontal="left" vertical="top"/>
    </xf>
    <xf numFmtId="0" fontId="18" fillId="0" borderId="1" xfId="17" applyFont="1" applyFill="1" applyBorder="1" applyAlignment="1">
      <alignment textRotation="90"/>
    </xf>
    <xf numFmtId="0" fontId="18" fillId="5" borderId="27" xfId="0" applyFont="1" applyFill="1" applyBorder="1"/>
    <xf numFmtId="0" fontId="18" fillId="5" borderId="29" xfId="0" applyFont="1" applyFill="1" applyBorder="1"/>
    <xf numFmtId="0" fontId="5" fillId="2" borderId="36" xfId="17" applyFont="1" applyFill="1" applyBorder="1" applyAlignment="1">
      <alignment horizontal="center"/>
    </xf>
    <xf numFmtId="0" fontId="18" fillId="0" borderId="27" xfId="0" applyFont="1" applyBorder="1" applyAlignment="1"/>
    <xf numFmtId="0" fontId="18" fillId="0" borderId="56" xfId="17" applyFont="1" applyFill="1" applyBorder="1" applyAlignment="1">
      <alignment vertical="center"/>
    </xf>
    <xf numFmtId="0" fontId="18" fillId="0" borderId="57" xfId="17" applyFont="1" applyFill="1" applyBorder="1" applyAlignment="1">
      <alignment vertical="center"/>
    </xf>
    <xf numFmtId="0" fontId="18" fillId="5" borderId="56" xfId="17" applyFont="1" applyFill="1" applyBorder="1" applyAlignment="1">
      <alignment vertical="center"/>
    </xf>
    <xf numFmtId="0" fontId="18" fillId="5" borderId="58" xfId="17" applyFont="1" applyFill="1" applyBorder="1" applyAlignment="1">
      <alignment horizontal="right" vertical="center"/>
    </xf>
    <xf numFmtId="0" fontId="18" fillId="0" borderId="31" xfId="0" applyFont="1" applyBorder="1" applyAlignment="1"/>
    <xf numFmtId="0" fontId="18" fillId="0" borderId="26" xfId="0" applyFont="1" applyBorder="1" applyAlignment="1"/>
    <xf numFmtId="0" fontId="18" fillId="0" borderId="28" xfId="0" applyFont="1" applyBorder="1" applyAlignment="1"/>
    <xf numFmtId="0" fontId="0" fillId="0" borderId="26" xfId="0" applyBorder="1" applyAlignment="1"/>
    <xf numFmtId="0" fontId="18" fillId="0" borderId="56" xfId="0" applyFont="1" applyBorder="1" applyAlignment="1"/>
    <xf numFmtId="0" fontId="18" fillId="0" borderId="57" xfId="0" applyFont="1" applyBorder="1" applyAlignment="1"/>
    <xf numFmtId="0" fontId="0" fillId="0" borderId="56" xfId="0" applyBorder="1" applyAlignment="1"/>
    <xf numFmtId="0" fontId="0" fillId="0" borderId="31" xfId="0" applyBorder="1" applyAlignment="1"/>
    <xf numFmtId="0" fontId="18" fillId="5" borderId="59" xfId="17" applyFont="1" applyFill="1" applyBorder="1" applyAlignment="1">
      <alignment vertical="top"/>
    </xf>
    <xf numFmtId="0" fontId="18" fillId="5" borderId="1" xfId="17" applyFont="1" applyFill="1" applyBorder="1" applyAlignment="1">
      <alignment vertical="center"/>
    </xf>
    <xf numFmtId="0" fontId="18" fillId="5" borderId="3" xfId="17" applyFont="1" applyFill="1" applyBorder="1" applyAlignment="1">
      <alignment horizontal="right" vertical="center"/>
    </xf>
    <xf numFmtId="0" fontId="18" fillId="5" borderId="57" xfId="17" applyFont="1" applyFill="1" applyBorder="1" applyAlignment="1">
      <alignment horizontal="right" vertical="center"/>
    </xf>
    <xf numFmtId="0" fontId="18" fillId="5" borderId="57" xfId="17" applyFont="1" applyFill="1" applyBorder="1" applyAlignment="1">
      <alignment vertical="center"/>
    </xf>
    <xf numFmtId="0" fontId="18" fillId="5" borderId="56" xfId="0" applyFont="1" applyFill="1" applyBorder="1"/>
    <xf numFmtId="0" fontId="22" fillId="2" borderId="18" xfId="17" applyFont="1" applyFill="1" applyBorder="1" applyAlignment="1">
      <alignment horizontal="center" vertical="top"/>
    </xf>
    <xf numFmtId="0" fontId="18" fillId="5" borderId="34" xfId="17" applyFont="1" applyFill="1" applyBorder="1" applyAlignment="1">
      <alignment vertical="center"/>
    </xf>
    <xf numFmtId="0" fontId="18" fillId="5" borderId="32" xfId="0" applyFont="1" applyFill="1" applyBorder="1"/>
    <xf numFmtId="0" fontId="18" fillId="5" borderId="0" xfId="0" applyFont="1" applyFill="1" applyBorder="1"/>
    <xf numFmtId="0" fontId="18" fillId="0" borderId="1" xfId="0" applyFont="1" applyBorder="1" applyAlignment="1"/>
    <xf numFmtId="0" fontId="22" fillId="0" borderId="3" xfId="0" applyFont="1" applyFill="1" applyBorder="1" applyAlignment="1">
      <alignment horizontal="left" vertical="top" wrapText="1"/>
    </xf>
    <xf numFmtId="0" fontId="4" fillId="0" borderId="0" xfId="17" applyFont="1" applyBorder="1"/>
    <xf numFmtId="0" fontId="2" fillId="0" borderId="0" xfId="17" applyBorder="1"/>
    <xf numFmtId="0" fontId="18" fillId="0" borderId="26" xfId="17" applyFont="1" applyFill="1" applyBorder="1" applyAlignment="1">
      <alignment vertical="center"/>
    </xf>
    <xf numFmtId="0" fontId="18" fillId="0" borderId="27" xfId="17" applyFont="1" applyFill="1" applyBorder="1" applyAlignment="1">
      <alignment vertical="center"/>
    </xf>
    <xf numFmtId="0" fontId="18" fillId="0" borderId="29" xfId="17" applyFont="1" applyBorder="1" applyAlignment="1">
      <alignment vertical="center"/>
    </xf>
    <xf numFmtId="0" fontId="18" fillId="0" borderId="29" xfId="17" applyFont="1" applyBorder="1" applyAlignment="1">
      <alignment horizontal="center"/>
    </xf>
    <xf numFmtId="0" fontId="18" fillId="0" borderId="28" xfId="17" applyFont="1" applyFill="1" applyBorder="1" applyAlignment="1">
      <alignment vertical="center"/>
    </xf>
    <xf numFmtId="0" fontId="0" fillId="0" borderId="28" xfId="0" applyBorder="1" applyAlignment="1"/>
    <xf numFmtId="0" fontId="0" fillId="6" borderId="31" xfId="0" applyFill="1" applyBorder="1" applyAlignment="1"/>
    <xf numFmtId="0" fontId="0" fillId="6" borderId="60" xfId="0" applyFill="1" applyBorder="1" applyAlignment="1"/>
    <xf numFmtId="0" fontId="18" fillId="6" borderId="31" xfId="0" applyFont="1" applyFill="1" applyBorder="1" applyAlignment="1"/>
    <xf numFmtId="0" fontId="18" fillId="6" borderId="60" xfId="0" applyFont="1" applyFill="1" applyBorder="1" applyAlignment="1"/>
    <xf numFmtId="0" fontId="0" fillId="6" borderId="26" xfId="0" applyFill="1" applyBorder="1" applyAlignment="1"/>
    <xf numFmtId="0" fontId="0" fillId="6" borderId="17" xfId="0" applyFill="1" applyBorder="1" applyAlignment="1"/>
    <xf numFmtId="0" fontId="18" fillId="6" borderId="26" xfId="0" applyFont="1" applyFill="1" applyBorder="1" applyAlignment="1"/>
    <xf numFmtId="0" fontId="18" fillId="6" borderId="27" xfId="0" applyFont="1" applyFill="1" applyBorder="1" applyAlignment="1"/>
    <xf numFmtId="0" fontId="18" fillId="6" borderId="17" xfId="0" applyFont="1" applyFill="1" applyBorder="1" applyAlignment="1"/>
    <xf numFmtId="0" fontId="18" fillId="6" borderId="31" xfId="17" applyFont="1" applyFill="1" applyBorder="1" applyAlignment="1">
      <alignment vertical="center"/>
    </xf>
    <xf numFmtId="0" fontId="18" fillId="0" borderId="26" xfId="0" applyFont="1" applyFill="1" applyBorder="1" applyAlignment="1"/>
    <xf numFmtId="0" fontId="18" fillId="0" borderId="28" xfId="0" applyFont="1" applyFill="1" applyBorder="1" applyAlignment="1"/>
    <xf numFmtId="0" fontId="0" fillId="6" borderId="27" xfId="0" applyFill="1" applyBorder="1" applyAlignment="1"/>
    <xf numFmtId="0" fontId="10" fillId="0" borderId="61" xfId="17" applyFont="1" applyBorder="1" applyAlignment="1">
      <alignment vertical="center"/>
    </xf>
    <xf numFmtId="0" fontId="0" fillId="6" borderId="0" xfId="0" applyFill="1" applyBorder="1"/>
    <xf numFmtId="0" fontId="0" fillId="6" borderId="33" xfId="0" applyFill="1" applyBorder="1"/>
    <xf numFmtId="0" fontId="18" fillId="6" borderId="0" xfId="0" applyFont="1" applyFill="1" applyBorder="1" applyAlignment="1"/>
    <xf numFmtId="0" fontId="18" fillId="6" borderId="33" xfId="0" applyFont="1" applyFill="1" applyBorder="1" applyAlignment="1"/>
    <xf numFmtId="0" fontId="10" fillId="0" borderId="62" xfId="17" applyFont="1" applyBorder="1" applyAlignment="1">
      <alignment vertical="center"/>
    </xf>
    <xf numFmtId="0" fontId="10" fillId="0" borderId="63" xfId="17" applyFont="1" applyBorder="1" applyAlignment="1">
      <alignment vertical="center"/>
    </xf>
    <xf numFmtId="0" fontId="10" fillId="0" borderId="4" xfId="17" applyFont="1" applyBorder="1" applyAlignment="1">
      <alignment vertical="center"/>
    </xf>
    <xf numFmtId="0" fontId="10" fillId="0" borderId="64" xfId="17" applyFont="1" applyBorder="1" applyAlignment="1">
      <alignment vertical="center"/>
    </xf>
    <xf numFmtId="0" fontId="2" fillId="4" borderId="8" xfId="17" applyFont="1" applyFill="1" applyBorder="1" applyAlignment="1"/>
    <xf numFmtId="0" fontId="2" fillId="4" borderId="7" xfId="17" applyFont="1" applyFill="1" applyBorder="1" applyAlignment="1"/>
    <xf numFmtId="0" fontId="2" fillId="4" borderId="22" xfId="17" applyFont="1" applyFill="1" applyBorder="1" applyAlignment="1"/>
    <xf numFmtId="0" fontId="2" fillId="4" borderId="0" xfId="17" applyFont="1" applyFill="1" applyBorder="1" applyAlignment="1"/>
    <xf numFmtId="0" fontId="22" fillId="0" borderId="3" xfId="0" applyFont="1" applyFill="1" applyBorder="1" applyAlignment="1">
      <alignment vertical="top" wrapText="1"/>
    </xf>
    <xf numFmtId="0" fontId="22" fillId="0" borderId="3" xfId="0" quotePrefix="1" applyFont="1" applyFill="1" applyBorder="1" applyAlignment="1">
      <alignment vertical="top" wrapText="1"/>
    </xf>
    <xf numFmtId="0" fontId="22" fillId="0" borderId="1" xfId="17" applyFont="1" applyFill="1" applyBorder="1" applyAlignment="1">
      <alignment vertical="top" wrapText="1"/>
    </xf>
    <xf numFmtId="0" fontId="22" fillId="0" borderId="23" xfId="17" applyFont="1" applyFill="1" applyBorder="1" applyAlignment="1">
      <alignment vertical="top" wrapText="1"/>
    </xf>
    <xf numFmtId="0" fontId="18" fillId="0" borderId="4" xfId="17" applyFont="1" applyFill="1" applyBorder="1" applyAlignment="1">
      <alignment horizontal="center" vertical="center"/>
    </xf>
    <xf numFmtId="0" fontId="18" fillId="0" borderId="4" xfId="0" quotePrefix="1" applyFont="1" applyFill="1" applyBorder="1" applyAlignment="1">
      <alignment horizontal="center" vertical="center" wrapText="1"/>
    </xf>
    <xf numFmtId="0" fontId="24" fillId="0" borderId="1" xfId="0" applyFont="1" applyFill="1" applyBorder="1" applyAlignment="1">
      <alignment vertical="top" wrapText="1"/>
    </xf>
    <xf numFmtId="0" fontId="24" fillId="0" borderId="0" xfId="0" applyFont="1" applyFill="1" applyBorder="1" applyAlignment="1">
      <alignment vertical="top" wrapText="1"/>
    </xf>
    <xf numFmtId="0" fontId="24" fillId="0" borderId="2" xfId="0" applyFont="1" applyFill="1" applyBorder="1" applyAlignment="1">
      <alignment vertical="top" wrapText="1"/>
    </xf>
    <xf numFmtId="0" fontId="18" fillId="0" borderId="41" xfId="0" applyFont="1" applyFill="1" applyBorder="1" applyAlignment="1">
      <alignment horizontal="center" vertical="top" wrapText="1"/>
    </xf>
    <xf numFmtId="0" fontId="18" fillId="0" borderId="4" xfId="0" applyFont="1" applyFill="1" applyBorder="1" applyAlignment="1">
      <alignment horizontal="center" vertical="top" wrapText="1"/>
    </xf>
    <xf numFmtId="0" fontId="18" fillId="7" borderId="3" xfId="17" applyFont="1" applyFill="1" applyBorder="1" applyAlignment="1">
      <alignment vertical="top" wrapText="1"/>
    </xf>
    <xf numFmtId="166" fontId="22" fillId="0" borderId="10" xfId="17" applyNumberFormat="1" applyFont="1" applyFill="1" applyBorder="1" applyAlignment="1"/>
    <xf numFmtId="166" fontId="22" fillId="0" borderId="23" xfId="17" applyNumberFormat="1" applyFont="1" applyFill="1" applyBorder="1" applyAlignment="1">
      <alignment horizontal="left"/>
    </xf>
    <xf numFmtId="0" fontId="18" fillId="0" borderId="2" xfId="17" applyFont="1" applyBorder="1" applyAlignment="1">
      <alignment vertical="top" wrapText="1"/>
    </xf>
    <xf numFmtId="0" fontId="18" fillId="0" borderId="65" xfId="17" applyFont="1" applyFill="1" applyBorder="1" applyAlignment="1"/>
    <xf numFmtId="0" fontId="18" fillId="0" borderId="66" xfId="17" applyFont="1" applyFill="1" applyBorder="1" applyAlignment="1"/>
    <xf numFmtId="0" fontId="22" fillId="0" borderId="22" xfId="17" applyFont="1" applyFill="1" applyBorder="1" applyAlignment="1"/>
    <xf numFmtId="0" fontId="10" fillId="0" borderId="12" xfId="10" applyFont="1" applyFill="1" applyBorder="1" applyAlignment="1">
      <alignment wrapText="1"/>
    </xf>
    <xf numFmtId="0" fontId="10" fillId="2" borderId="1" xfId="17" applyFont="1" applyFill="1" applyBorder="1" applyAlignment="1">
      <alignment vertical="top"/>
    </xf>
    <xf numFmtId="0" fontId="18" fillId="2" borderId="1" xfId="17" applyFont="1" applyFill="1" applyBorder="1" applyAlignment="1">
      <alignment vertical="top"/>
    </xf>
    <xf numFmtId="0" fontId="18" fillId="0" borderId="1" xfId="0" applyFont="1" applyBorder="1" applyAlignment="1">
      <alignment horizontal="center" vertical="top"/>
    </xf>
    <xf numFmtId="0" fontId="18" fillId="0" borderId="1" xfId="0" applyFont="1" applyBorder="1" applyAlignment="1">
      <alignment horizontal="left" vertical="top"/>
    </xf>
    <xf numFmtId="0" fontId="18" fillId="0" borderId="23" xfId="0" applyFont="1" applyBorder="1" applyAlignment="1">
      <alignment horizontal="left" vertical="top"/>
    </xf>
    <xf numFmtId="0" fontId="6" fillId="0" borderId="0" xfId="0" applyFont="1" applyFill="1"/>
    <xf numFmtId="0" fontId="10" fillId="0" borderId="0" xfId="0" applyFont="1" applyFill="1"/>
    <xf numFmtId="0" fontId="10" fillId="0" borderId="0" xfId="0" applyFont="1"/>
    <xf numFmtId="0" fontId="30" fillId="0" borderId="0" xfId="14" applyFont="1" applyFill="1" applyAlignment="1">
      <alignment vertical="center"/>
    </xf>
    <xf numFmtId="0" fontId="12" fillId="0" borderId="0" xfId="14" applyFont="1" applyFill="1" applyBorder="1" applyAlignment="1">
      <alignment horizontal="center" vertical="center"/>
    </xf>
    <xf numFmtId="0" fontId="10" fillId="0" borderId="0" xfId="14" applyFont="1" applyFill="1" applyAlignment="1">
      <alignment vertical="center"/>
    </xf>
    <xf numFmtId="166" fontId="18" fillId="0" borderId="4" xfId="14" applyNumberFormat="1" applyFont="1" applyFill="1" applyBorder="1" applyAlignment="1">
      <alignment horizontal="left" vertical="center"/>
    </xf>
    <xf numFmtId="166" fontId="18" fillId="0" borderId="37" xfId="14" applyNumberFormat="1" applyFont="1" applyFill="1" applyBorder="1" applyAlignment="1">
      <alignment horizontal="left" vertical="center"/>
    </xf>
    <xf numFmtId="166" fontId="18" fillId="0" borderId="36" xfId="14" applyNumberFormat="1" applyFont="1" applyFill="1" applyBorder="1" applyAlignment="1">
      <alignment horizontal="left" vertical="center"/>
    </xf>
    <xf numFmtId="1" fontId="11" fillId="0" borderId="14" xfId="2" quotePrefix="1" applyNumberFormat="1" applyFont="1" applyFill="1" applyBorder="1" applyAlignment="1">
      <alignment horizontal="center"/>
    </xf>
    <xf numFmtId="0" fontId="18" fillId="0" borderId="24" xfId="14" applyFont="1" applyFill="1" applyBorder="1" applyAlignment="1">
      <alignment horizontal="left" vertical="center"/>
    </xf>
    <xf numFmtId="0" fontId="14" fillId="0" borderId="6" xfId="14" applyFont="1" applyFill="1" applyBorder="1" applyAlignment="1">
      <alignment vertical="center"/>
    </xf>
    <xf numFmtId="0" fontId="14" fillId="0" borderId="12" xfId="14" applyFont="1" applyFill="1" applyBorder="1" applyAlignment="1">
      <alignment horizontal="right" vertical="center"/>
    </xf>
    <xf numFmtId="0" fontId="14" fillId="0" borderId="6" xfId="14" applyFont="1" applyFill="1" applyBorder="1" applyAlignment="1">
      <alignment horizontal="right" vertical="center"/>
    </xf>
    <xf numFmtId="1" fontId="11" fillId="0" borderId="15" xfId="2" quotePrefix="1" applyNumberFormat="1" applyFont="1" applyFill="1" applyBorder="1" applyAlignment="1">
      <alignment horizontal="center"/>
    </xf>
    <xf numFmtId="0" fontId="14" fillId="0" borderId="4" xfId="14" applyFont="1" applyFill="1" applyBorder="1" applyAlignment="1">
      <alignment vertical="center"/>
    </xf>
    <xf numFmtId="0" fontId="18" fillId="0" borderId="36" xfId="14" applyFont="1" applyFill="1" applyBorder="1" applyAlignment="1">
      <alignment horizontal="left" vertical="center"/>
    </xf>
    <xf numFmtId="0" fontId="14" fillId="0" borderId="5" xfId="14" applyFont="1" applyFill="1" applyBorder="1" applyAlignment="1">
      <alignment horizontal="right" vertical="center"/>
    </xf>
    <xf numFmtId="0" fontId="14" fillId="0" borderId="4" xfId="14" applyFont="1" applyFill="1" applyBorder="1" applyAlignment="1">
      <alignment horizontal="right" vertical="center"/>
    </xf>
    <xf numFmtId="0" fontId="18" fillId="0" borderId="10" xfId="17" applyFont="1" applyFill="1" applyBorder="1" applyAlignment="1">
      <alignment horizontal="left"/>
    </xf>
    <xf numFmtId="0" fontId="18" fillId="0" borderId="4" xfId="17" applyFont="1" applyFill="1" applyBorder="1" applyAlignment="1">
      <alignment horizontal="left" vertical="top" wrapText="1"/>
    </xf>
    <xf numFmtId="0" fontId="18" fillId="0" borderId="4" xfId="17" applyFont="1" applyBorder="1" applyAlignment="1"/>
    <xf numFmtId="0" fontId="18" fillId="0" borderId="2" xfId="17" applyFont="1" applyBorder="1" applyAlignment="1">
      <alignment wrapText="1"/>
    </xf>
    <xf numFmtId="0" fontId="19" fillId="0" borderId="0" xfId="10" applyFont="1" applyBorder="1" applyAlignment="1">
      <alignment wrapText="1"/>
    </xf>
    <xf numFmtId="0" fontId="19" fillId="0" borderId="1" xfId="10" applyFont="1" applyBorder="1" applyAlignment="1">
      <alignment wrapText="1"/>
    </xf>
    <xf numFmtId="0" fontId="22" fillId="2" borderId="8" xfId="17" applyFont="1" applyFill="1" applyBorder="1" applyAlignment="1">
      <alignment horizontal="center" vertical="top" wrapText="1"/>
    </xf>
    <xf numFmtId="0" fontId="18" fillId="0" borderId="3" xfId="0" applyFont="1" applyFill="1" applyBorder="1" applyAlignment="1">
      <alignment vertical="top"/>
    </xf>
    <xf numFmtId="0" fontId="6" fillId="0" borderId="0" xfId="0" applyFont="1"/>
    <xf numFmtId="166" fontId="22" fillId="0" borderId="41" xfId="17" applyNumberFormat="1" applyFont="1" applyFill="1" applyBorder="1" applyAlignment="1">
      <alignment horizontal="center" vertical="top" wrapText="1"/>
    </xf>
    <xf numFmtId="166" fontId="22" fillId="2" borderId="4" xfId="17" applyNumberFormat="1" applyFont="1" applyFill="1" applyBorder="1" applyAlignment="1">
      <alignment horizontal="left" vertical="top"/>
    </xf>
    <xf numFmtId="0" fontId="18" fillId="0" borderId="3" xfId="0" applyFont="1" applyFill="1" applyBorder="1" applyAlignment="1">
      <alignment horizontal="center" vertical="center" wrapText="1"/>
    </xf>
    <xf numFmtId="0" fontId="7" fillId="0" borderId="3" xfId="0" applyFont="1" applyFill="1" applyBorder="1"/>
    <xf numFmtId="0" fontId="7" fillId="0" borderId="3" xfId="0" applyFont="1" applyFill="1" applyBorder="1" applyAlignment="1">
      <alignment horizontal="left"/>
    </xf>
    <xf numFmtId="0" fontId="22" fillId="0" borderId="50" xfId="0" applyFont="1" applyFill="1" applyBorder="1" applyAlignment="1">
      <alignment horizontal="center" vertical="top" wrapText="1"/>
    </xf>
    <xf numFmtId="165" fontId="22" fillId="0" borderId="21" xfId="15" applyNumberFormat="1" applyFont="1" applyFill="1" applyBorder="1" applyAlignment="1">
      <alignment horizontal="center" vertical="center"/>
    </xf>
    <xf numFmtId="0" fontId="18" fillId="0" borderId="7" xfId="0" applyFont="1" applyFill="1" applyBorder="1" applyAlignment="1">
      <alignment horizontal="left" vertical="top" wrapText="1"/>
    </xf>
    <xf numFmtId="0" fontId="18" fillId="0" borderId="7" xfId="0" applyFont="1" applyFill="1" applyBorder="1" applyAlignment="1">
      <alignment vertical="center" wrapText="1"/>
    </xf>
    <xf numFmtId="0" fontId="18" fillId="0" borderId="7" xfId="0" applyFont="1" applyFill="1" applyBorder="1" applyAlignment="1">
      <alignment horizontal="left" vertical="center" wrapText="1"/>
    </xf>
    <xf numFmtId="0" fontId="18" fillId="0" borderId="4" xfId="0" applyFont="1" applyFill="1" applyBorder="1" applyAlignment="1">
      <alignment vertical="center" wrapText="1"/>
    </xf>
    <xf numFmtId="0" fontId="18" fillId="0" borderId="4" xfId="0" applyFont="1" applyFill="1" applyBorder="1" applyAlignment="1">
      <alignment horizontal="left" vertical="center" wrapText="1"/>
    </xf>
    <xf numFmtId="0" fontId="7" fillId="0" borderId="8" xfId="0" applyFont="1" applyBorder="1"/>
    <xf numFmtId="0" fontId="7" fillId="0" borderId="7" xfId="0" applyFont="1" applyBorder="1"/>
    <xf numFmtId="165" fontId="22" fillId="0" borderId="20" xfId="15" applyNumberFormat="1" applyFont="1" applyFill="1" applyBorder="1" applyAlignment="1">
      <alignment horizontal="center" vertical="center"/>
    </xf>
    <xf numFmtId="0" fontId="7" fillId="0" borderId="4" xfId="0" applyFont="1" applyBorder="1"/>
    <xf numFmtId="165" fontId="22" fillId="0" borderId="50" xfId="15" applyNumberFormat="1" applyFont="1" applyFill="1" applyBorder="1" applyAlignment="1">
      <alignment horizontal="center" vertical="center"/>
    </xf>
    <xf numFmtId="0" fontId="7" fillId="0" borderId="18" xfId="0" applyFont="1" applyBorder="1"/>
    <xf numFmtId="0" fontId="7" fillId="0" borderId="6" xfId="0" applyFont="1" applyBorder="1"/>
    <xf numFmtId="0" fontId="18" fillId="0" borderId="0" xfId="10" applyFont="1" applyFill="1" applyBorder="1"/>
    <xf numFmtId="0" fontId="18" fillId="0" borderId="0" xfId="10" applyFont="1" applyFill="1"/>
    <xf numFmtId="0" fontId="22" fillId="0" borderId="0" xfId="17" applyFont="1" applyFill="1" applyAlignment="1"/>
    <xf numFmtId="0" fontId="18" fillId="0" borderId="0" xfId="10" applyFont="1" applyFill="1" applyAlignment="1">
      <alignment horizontal="left"/>
    </xf>
    <xf numFmtId="0" fontId="19" fillId="0" borderId="0" xfId="0" applyFont="1" applyFill="1"/>
    <xf numFmtId="0" fontId="19" fillId="0" borderId="0" xfId="0" applyFont="1"/>
    <xf numFmtId="0" fontId="34" fillId="0" borderId="0" xfId="10" applyFont="1" applyFill="1" applyBorder="1" applyAlignment="1">
      <alignment vertical="top"/>
    </xf>
    <xf numFmtId="0" fontId="22" fillId="0" borderId="57" xfId="1" applyFont="1" applyFill="1" applyBorder="1" applyAlignment="1">
      <alignment vertical="center" wrapText="1"/>
    </xf>
    <xf numFmtId="0" fontId="18" fillId="0" borderId="43" xfId="0" applyFont="1" applyFill="1" applyBorder="1" applyAlignment="1">
      <alignment wrapText="1"/>
    </xf>
    <xf numFmtId="0" fontId="22" fillId="0" borderId="2" xfId="1" applyFont="1" applyFill="1" applyBorder="1" applyAlignment="1">
      <alignment vertical="center" wrapText="1"/>
    </xf>
    <xf numFmtId="0" fontId="22" fillId="0" borderId="43" xfId="1" quotePrefix="1" applyFont="1" applyFill="1" applyBorder="1" applyAlignment="1">
      <alignment wrapText="1"/>
    </xf>
    <xf numFmtId="0" fontId="64" fillId="0" borderId="3" xfId="0" applyFont="1" applyBorder="1" applyAlignment="1">
      <alignment horizontal="left" readingOrder="1"/>
    </xf>
    <xf numFmtId="0" fontId="18" fillId="0" borderId="67" xfId="0" applyFont="1" applyFill="1" applyBorder="1" applyAlignment="1">
      <alignment wrapText="1"/>
    </xf>
    <xf numFmtId="0" fontId="22" fillId="0" borderId="53" xfId="1" applyFont="1" applyFill="1" applyBorder="1" applyAlignment="1">
      <alignment vertical="center" wrapText="1"/>
    </xf>
    <xf numFmtId="0" fontId="65" fillId="0" borderId="51" xfId="0" applyFont="1" applyBorder="1" applyAlignment="1">
      <alignment horizontal="left" readingOrder="1"/>
    </xf>
    <xf numFmtId="0" fontId="22" fillId="0" borderId="44" xfId="1" applyFont="1" applyFill="1" applyBorder="1" applyAlignment="1">
      <alignment horizontal="center" vertical="center" wrapText="1"/>
    </xf>
    <xf numFmtId="0" fontId="18" fillId="0" borderId="23" xfId="18" applyFont="1" applyFill="1" applyBorder="1" applyAlignment="1">
      <alignment horizontal="left" vertical="center" wrapText="1"/>
    </xf>
    <xf numFmtId="0" fontId="18" fillId="0" borderId="21" xfId="18" applyFont="1" applyFill="1" applyBorder="1" applyAlignment="1">
      <alignment horizontal="left" vertical="center" wrapText="1"/>
    </xf>
    <xf numFmtId="0" fontId="18" fillId="0" borderId="6" xfId="18" applyFont="1" applyFill="1" applyBorder="1" applyAlignment="1">
      <alignment horizontal="left" vertical="center" wrapText="1"/>
    </xf>
    <xf numFmtId="0" fontId="22" fillId="0" borderId="6" xfId="1" applyFont="1" applyFill="1" applyBorder="1" applyAlignment="1">
      <alignment horizontal="center" vertical="center" wrapText="1"/>
    </xf>
    <xf numFmtId="0" fontId="22" fillId="0" borderId="23" xfId="1" applyFont="1" applyFill="1" applyBorder="1" applyAlignment="1">
      <alignment horizontal="center" vertical="center" wrapText="1"/>
    </xf>
    <xf numFmtId="0" fontId="22" fillId="0" borderId="4" xfId="1" applyFont="1" applyFill="1" applyBorder="1" applyAlignment="1">
      <alignment horizontal="center" vertical="center" wrapText="1"/>
    </xf>
    <xf numFmtId="0" fontId="22" fillId="0" borderId="37" xfId="1" applyFont="1" applyFill="1" applyBorder="1" applyAlignment="1">
      <alignment horizontal="center" vertical="center" wrapText="1"/>
    </xf>
    <xf numFmtId="0" fontId="18" fillId="0" borderId="5" xfId="10" applyFont="1" applyFill="1" applyBorder="1" applyAlignment="1">
      <alignment vertical="center" wrapText="1"/>
    </xf>
    <xf numFmtId="0" fontId="18" fillId="0" borderId="37" xfId="10" applyFont="1" applyFill="1" applyBorder="1" applyAlignment="1">
      <alignment horizontal="left" vertical="center"/>
    </xf>
    <xf numFmtId="0" fontId="18" fillId="0" borderId="41" xfId="10" applyFont="1" applyFill="1" applyBorder="1" applyAlignment="1">
      <alignment horizontal="left" vertical="center"/>
    </xf>
    <xf numFmtId="0" fontId="18" fillId="0" borderId="4" xfId="10" applyFont="1" applyFill="1" applyBorder="1" applyAlignment="1">
      <alignment horizontal="left" vertical="center"/>
    </xf>
    <xf numFmtId="0" fontId="18" fillId="0" borderId="22" xfId="18" applyFont="1" applyFill="1" applyBorder="1" applyAlignment="1">
      <alignment horizontal="center" vertical="center" wrapText="1"/>
    </xf>
    <xf numFmtId="0" fontId="18" fillId="0" borderId="22" xfId="10" applyFont="1" applyFill="1" applyBorder="1" applyAlignment="1">
      <alignment horizontal="left" vertical="center"/>
    </xf>
    <xf numFmtId="0" fontId="22" fillId="0" borderId="22" xfId="1" applyFont="1" applyFill="1" applyBorder="1" applyAlignment="1">
      <alignment horizontal="center" vertical="center" wrapText="1"/>
    </xf>
    <xf numFmtId="0" fontId="18" fillId="0" borderId="0" xfId="10" applyFont="1" applyFill="1" applyBorder="1" applyAlignment="1">
      <alignment horizontal="left" vertical="center" wrapText="1"/>
    </xf>
    <xf numFmtId="0" fontId="4" fillId="0" borderId="0" xfId="0" applyFont="1"/>
    <xf numFmtId="0" fontId="0" fillId="0" borderId="0" xfId="0" applyAlignment="1">
      <alignment horizontal="left"/>
    </xf>
    <xf numFmtId="0" fontId="22" fillId="2" borderId="8" xfId="17" applyFont="1" applyFill="1" applyBorder="1" applyAlignment="1">
      <alignment horizontal="center" vertical="center"/>
    </xf>
    <xf numFmtId="166" fontId="22" fillId="2" borderId="4" xfId="17" applyNumberFormat="1" applyFont="1" applyFill="1" applyBorder="1" applyAlignment="1">
      <alignment horizontal="center"/>
    </xf>
    <xf numFmtId="166" fontId="22" fillId="2" borderId="5" xfId="17" applyNumberFormat="1" applyFont="1" applyFill="1" applyBorder="1" applyAlignment="1">
      <alignment horizontal="center" vertical="top" wrapText="1"/>
    </xf>
    <xf numFmtId="166" fontId="22" fillId="2" borderId="4" xfId="17" applyNumberFormat="1" applyFont="1" applyFill="1" applyBorder="1" applyAlignment="1">
      <alignment horizontal="center" vertical="top" wrapText="1"/>
    </xf>
    <xf numFmtId="0" fontId="0" fillId="0" borderId="8" xfId="0" applyBorder="1" applyAlignment="1">
      <alignment horizontal="center"/>
    </xf>
    <xf numFmtId="0" fontId="22" fillId="2" borderId="3" xfId="17" applyFont="1" applyFill="1" applyBorder="1" applyAlignment="1">
      <alignment horizontal="center" vertical="center"/>
    </xf>
    <xf numFmtId="0" fontId="0" fillId="0" borderId="6" xfId="0" applyBorder="1"/>
    <xf numFmtId="0" fontId="18" fillId="0" borderId="8" xfId="0" applyFont="1" applyFill="1" applyBorder="1" applyAlignment="1">
      <alignment vertical="center" wrapText="1"/>
    </xf>
    <xf numFmtId="0" fontId="18" fillId="0" borderId="8" xfId="0" applyFont="1" applyBorder="1" applyAlignment="1">
      <alignment vertical="center" wrapText="1"/>
    </xf>
    <xf numFmtId="0" fontId="18" fillId="0" borderId="3" xfId="0" applyFont="1" applyBorder="1" applyAlignment="1">
      <alignment vertical="center" wrapText="1"/>
    </xf>
    <xf numFmtId="0" fontId="18" fillId="0" borderId="0"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0" fillId="0" borderId="3" xfId="0" applyFont="1" applyBorder="1"/>
    <xf numFmtId="0" fontId="18" fillId="0" borderId="4" xfId="0" applyFont="1" applyBorder="1" applyAlignment="1">
      <alignment horizontal="center" vertical="top" wrapText="1"/>
    </xf>
    <xf numFmtId="0" fontId="18" fillId="0" borderId="4" xfId="0" applyFont="1" applyBorder="1" applyAlignment="1">
      <alignment horizont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10" fillId="0" borderId="36"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7" xfId="0" applyFont="1" applyFill="1" applyBorder="1" applyAlignment="1">
      <alignment horizontal="center" vertical="center" wrapText="1"/>
    </xf>
    <xf numFmtId="0" fontId="18" fillId="0" borderId="4" xfId="0" applyFont="1" applyBorder="1" applyAlignment="1">
      <alignment horizontal="center" vertical="center" wrapText="1"/>
    </xf>
    <xf numFmtId="0" fontId="7" fillId="0" borderId="5" xfId="0" applyFont="1" applyBorder="1"/>
    <xf numFmtId="0" fontId="18" fillId="0" borderId="4" xfId="0" applyFont="1" applyBorder="1" applyAlignment="1">
      <alignment horizontal="left" vertical="center" wrapText="1"/>
    </xf>
    <xf numFmtId="0" fontId="7" fillId="0" borderId="4" xfId="0" applyFont="1" applyBorder="1" applyAlignment="1">
      <alignment horizontal="center" vertical="center" wrapText="1"/>
    </xf>
    <xf numFmtId="0" fontId="5" fillId="0" borderId="4" xfId="0" applyFont="1" applyBorder="1"/>
    <xf numFmtId="0" fontId="18" fillId="0" borderId="36" xfId="0" applyFont="1" applyFill="1" applyBorder="1" applyAlignment="1">
      <alignment horizontal="center" vertical="top" wrapText="1"/>
    </xf>
    <xf numFmtId="0" fontId="18" fillId="0" borderId="8" xfId="0" applyFont="1" applyBorder="1" applyAlignment="1">
      <alignment horizontal="center" vertical="top"/>
    </xf>
    <xf numFmtId="0" fontId="18" fillId="0" borderId="4" xfId="0" applyFont="1" applyFill="1" applyBorder="1" applyAlignment="1">
      <alignment vertical="top" wrapText="1"/>
    </xf>
    <xf numFmtId="0" fontId="18" fillId="0" borderId="37" xfId="0" applyFont="1" applyBorder="1"/>
    <xf numFmtId="0" fontId="18" fillId="0" borderId="4" xfId="0" applyFont="1" applyBorder="1" applyAlignment="1">
      <alignment vertical="center" wrapText="1"/>
    </xf>
    <xf numFmtId="0" fontId="18" fillId="0" borderId="36"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4" xfId="0" applyFont="1" applyBorder="1" applyAlignment="1">
      <alignment vertical="top" wrapText="1"/>
    </xf>
    <xf numFmtId="0" fontId="5" fillId="0" borderId="0" xfId="11" applyFont="1"/>
    <xf numFmtId="0" fontId="5" fillId="0" borderId="0" xfId="13" applyFont="1"/>
    <xf numFmtId="0" fontId="6" fillId="0" borderId="0" xfId="13" applyFont="1"/>
    <xf numFmtId="0" fontId="18" fillId="0" borderId="0" xfId="11" applyFont="1"/>
    <xf numFmtId="0" fontId="18" fillId="0" borderId="5" xfId="13" applyFont="1" applyFill="1" applyBorder="1" applyAlignment="1">
      <alignment horizontal="center" vertical="top" wrapText="1"/>
    </xf>
    <xf numFmtId="0" fontId="18" fillId="0" borderId="4" xfId="0" applyFont="1" applyBorder="1" applyAlignment="1">
      <alignment horizontal="center" vertical="center"/>
    </xf>
    <xf numFmtId="0" fontId="18" fillId="0" borderId="6" xfId="11" applyFont="1" applyBorder="1" applyAlignment="1">
      <alignment horizontal="center" vertical="center" wrapText="1"/>
    </xf>
    <xf numFmtId="0" fontId="18" fillId="0" borderId="4" xfId="11" applyFont="1" applyBorder="1" applyAlignment="1">
      <alignment horizontal="center" vertical="center"/>
    </xf>
    <xf numFmtId="0" fontId="18" fillId="0" borderId="4" xfId="11" applyFont="1" applyFill="1" applyBorder="1" applyAlignment="1">
      <alignment horizontal="center" vertical="center" wrapText="1"/>
    </xf>
    <xf numFmtId="0" fontId="18" fillId="0" borderId="4" xfId="13" applyFont="1" applyFill="1" applyBorder="1" applyAlignment="1">
      <alignment horizontal="center" vertical="center" wrapText="1"/>
    </xf>
    <xf numFmtId="0" fontId="18" fillId="0" borderId="4" xfId="11" applyFont="1" applyBorder="1"/>
    <xf numFmtId="0" fontId="18" fillId="0" borderId="4" xfId="11" applyFont="1" applyFill="1" applyBorder="1" applyAlignment="1">
      <alignment horizontal="left" vertical="top" wrapText="1"/>
    </xf>
    <xf numFmtId="0" fontId="18" fillId="0" borderId="4" xfId="13" applyFont="1" applyFill="1" applyBorder="1" applyAlignment="1">
      <alignment horizontal="left" vertical="top" wrapText="1"/>
    </xf>
    <xf numFmtId="0" fontId="18" fillId="0" borderId="4" xfId="11" applyFont="1" applyBorder="1" applyAlignment="1">
      <alignment horizontal="left" vertical="top" wrapText="1"/>
    </xf>
    <xf numFmtId="0" fontId="66" fillId="0" borderId="0" xfId="0" applyFont="1" applyAlignment="1">
      <alignment horizontal="center" vertical="center" wrapText="1"/>
    </xf>
    <xf numFmtId="0" fontId="27" fillId="0" borderId="0" xfId="0" applyFont="1" applyBorder="1" applyAlignment="1">
      <alignment vertical="top"/>
    </xf>
    <xf numFmtId="0" fontId="66" fillId="0" borderId="0" xfId="0" applyFont="1" applyBorder="1" applyAlignment="1">
      <alignment vertical="top" wrapText="1"/>
    </xf>
    <xf numFmtId="0" fontId="66" fillId="0" borderId="0" xfId="0" applyFont="1" applyBorder="1" applyAlignment="1">
      <alignment horizontal="left" vertical="top" wrapText="1"/>
    </xf>
    <xf numFmtId="0" fontId="18" fillId="0" borderId="24" xfId="17" applyFont="1" applyBorder="1" applyAlignment="1">
      <alignment vertical="top" wrapText="1"/>
    </xf>
    <xf numFmtId="166" fontId="67" fillId="0" borderId="4" xfId="0" applyNumberFormat="1" applyFont="1" applyBorder="1" applyAlignment="1">
      <alignment horizontal="center" vertical="top" wrapText="1"/>
    </xf>
    <xf numFmtId="0" fontId="61" fillId="7" borderId="4" xfId="0" applyFont="1" applyFill="1" applyBorder="1" applyAlignment="1">
      <alignment horizontal="left" vertical="top" wrapText="1"/>
    </xf>
    <xf numFmtId="0" fontId="68" fillId="0" borderId="8" xfId="0" applyFont="1" applyFill="1" applyBorder="1" applyAlignment="1">
      <alignment horizontal="left" vertical="top" wrapText="1"/>
    </xf>
    <xf numFmtId="0" fontId="61" fillId="0" borderId="8" xfId="12" applyFont="1" applyBorder="1" applyAlignment="1">
      <alignment horizontal="left" vertical="top" wrapText="1"/>
    </xf>
    <xf numFmtId="0" fontId="61" fillId="7" borderId="8" xfId="12" applyFont="1" applyFill="1" applyBorder="1" applyAlignment="1">
      <alignment horizontal="left" vertical="top" wrapText="1"/>
    </xf>
    <xf numFmtId="0" fontId="61" fillId="0" borderId="8" xfId="0" applyFont="1" applyBorder="1" applyAlignment="1">
      <alignment horizontal="center" vertical="center" wrapText="1"/>
    </xf>
    <xf numFmtId="0" fontId="61" fillId="0" borderId="37" xfId="0" applyFont="1" applyBorder="1" applyAlignment="1">
      <alignment horizontal="center" vertical="center" wrapText="1"/>
    </xf>
    <xf numFmtId="0" fontId="61" fillId="0" borderId="0" xfId="0" applyFont="1" applyAlignment="1">
      <alignment horizontal="left" vertical="top"/>
    </xf>
    <xf numFmtId="0" fontId="19" fillId="0" borderId="4" xfId="0" applyFont="1" applyBorder="1"/>
    <xf numFmtId="0" fontId="61" fillId="0" borderId="8" xfId="0" applyFont="1" applyBorder="1" applyAlignment="1">
      <alignment vertical="center" wrapText="1"/>
    </xf>
    <xf numFmtId="0" fontId="61" fillId="8" borderId="4" xfId="0" applyFont="1" applyFill="1" applyBorder="1" applyAlignment="1">
      <alignment horizontal="center" vertical="center"/>
    </xf>
    <xf numFmtId="0" fontId="19" fillId="8" borderId="4" xfId="0" applyFont="1" applyFill="1" applyBorder="1"/>
    <xf numFmtId="0" fontId="58" fillId="0" borderId="4" xfId="0" applyFont="1" applyBorder="1" applyAlignment="1">
      <alignment horizontal="center" vertical="center" wrapText="1"/>
    </xf>
    <xf numFmtId="0" fontId="61" fillId="7" borderId="4" xfId="0" applyFont="1" applyFill="1" applyBorder="1" applyAlignment="1">
      <alignment horizontal="left" vertical="center"/>
    </xf>
    <xf numFmtId="0" fontId="61" fillId="7" borderId="4" xfId="0" applyNumberFormat="1" applyFont="1" applyFill="1" applyBorder="1" applyAlignment="1">
      <alignment horizontal="center" vertical="center" wrapText="1"/>
    </xf>
    <xf numFmtId="0" fontId="61" fillId="8" borderId="4" xfId="0" applyFont="1" applyFill="1" applyBorder="1"/>
    <xf numFmtId="0" fontId="0" fillId="8" borderId="4" xfId="0" applyFill="1" applyBorder="1"/>
    <xf numFmtId="0" fontId="61" fillId="7" borderId="4" xfId="0" applyFont="1" applyFill="1" applyBorder="1" applyAlignment="1">
      <alignment wrapText="1"/>
    </xf>
    <xf numFmtId="1" fontId="18" fillId="7" borderId="4" xfId="0" applyNumberFormat="1" applyFont="1" applyFill="1" applyBorder="1" applyAlignment="1">
      <alignment horizontal="center" wrapText="1"/>
    </xf>
    <xf numFmtId="0" fontId="61" fillId="0" borderId="4" xfId="0" applyFont="1" applyBorder="1" applyAlignment="1">
      <alignment wrapText="1"/>
    </xf>
    <xf numFmtId="166" fontId="22" fillId="0" borderId="4" xfId="0" applyNumberFormat="1" applyFont="1" applyBorder="1" applyAlignment="1">
      <alignment horizontal="left" vertical="top" wrapText="1"/>
    </xf>
    <xf numFmtId="0" fontId="22" fillId="0" borderId="4" xfId="0" applyFont="1" applyBorder="1" applyAlignment="1">
      <alignment horizontal="left" vertical="center" wrapText="1"/>
    </xf>
    <xf numFmtId="0" fontId="22" fillId="0" borderId="4" xfId="0" applyFont="1" applyBorder="1" applyAlignment="1">
      <alignment horizontal="center" vertical="center" wrapText="1"/>
    </xf>
    <xf numFmtId="0" fontId="38" fillId="0" borderId="0" xfId="0" applyFont="1"/>
    <xf numFmtId="166" fontId="22" fillId="0" borderId="35" xfId="17" applyNumberFormat="1" applyFont="1" applyFill="1" applyBorder="1" applyAlignment="1">
      <alignment horizontal="left" wrapText="1"/>
    </xf>
    <xf numFmtId="0" fontId="22" fillId="2" borderId="1" xfId="17" applyFont="1" applyFill="1" applyBorder="1" applyAlignment="1">
      <alignment horizontal="center" vertical="center" wrapText="1"/>
    </xf>
    <xf numFmtId="1" fontId="22" fillId="0" borderId="2" xfId="3" applyNumberFormat="1" applyFont="1" applyFill="1" applyBorder="1" applyAlignment="1">
      <alignment vertical="top" wrapText="1"/>
    </xf>
    <xf numFmtId="1" fontId="22" fillId="0" borderId="12" xfId="3" applyNumberFormat="1" applyFont="1" applyFill="1" applyBorder="1" applyAlignment="1">
      <alignment vertical="top" wrapText="1"/>
    </xf>
    <xf numFmtId="0" fontId="22" fillId="2" borderId="50" xfId="17" applyFont="1" applyFill="1" applyBorder="1" applyAlignment="1">
      <alignment horizontal="center" vertical="center" textRotation="90" wrapText="1"/>
    </xf>
    <xf numFmtId="165" fontId="18" fillId="0" borderId="0" xfId="15" applyNumberFormat="1" applyFont="1" applyBorder="1" applyAlignment="1">
      <alignment horizontal="left" vertical="center"/>
    </xf>
    <xf numFmtId="0" fontId="22" fillId="7" borderId="1" xfId="0" applyFont="1" applyFill="1" applyBorder="1" applyAlignment="1">
      <alignment horizontal="center"/>
    </xf>
    <xf numFmtId="0" fontId="18" fillId="7" borderId="37" xfId="0" applyFont="1" applyFill="1" applyBorder="1"/>
    <xf numFmtId="0" fontId="22" fillId="7" borderId="18" xfId="0" applyFont="1" applyFill="1" applyBorder="1" applyAlignment="1">
      <alignment horizontal="center"/>
    </xf>
    <xf numFmtId="166" fontId="18" fillId="7" borderId="10" xfId="17" applyNumberFormat="1" applyFont="1" applyFill="1" applyBorder="1" applyAlignment="1">
      <alignment vertical="top"/>
    </xf>
    <xf numFmtId="0" fontId="18" fillId="0" borderId="3" xfId="17" applyFont="1" applyFill="1" applyBorder="1" applyAlignment="1">
      <alignment vertical="center"/>
    </xf>
    <xf numFmtId="0" fontId="7" fillId="2" borderId="0" xfId="17" applyFont="1" applyFill="1" applyAlignment="1">
      <alignment horizontal="left" vertical="center"/>
    </xf>
    <xf numFmtId="0" fontId="18" fillId="3" borderId="1" xfId="17" applyFont="1" applyFill="1" applyBorder="1" applyAlignment="1">
      <alignment vertical="top"/>
    </xf>
    <xf numFmtId="0" fontId="18" fillId="0" borderId="6" xfId="0" applyFont="1" applyFill="1" applyBorder="1" applyAlignment="1">
      <alignment vertical="top" wrapText="1"/>
    </xf>
    <xf numFmtId="0" fontId="22" fillId="0" borderId="4" xfId="10" applyFont="1" applyFill="1" applyBorder="1" applyAlignment="1">
      <alignment horizontal="center" vertical="center" wrapText="1"/>
    </xf>
    <xf numFmtId="0" fontId="22" fillId="0" borderId="8" xfId="10" applyFont="1" applyFill="1" applyBorder="1" applyAlignment="1">
      <alignment horizontal="center" wrapText="1"/>
    </xf>
    <xf numFmtId="0" fontId="3" fillId="0" borderId="0" xfId="0" applyFont="1"/>
    <xf numFmtId="0" fontId="2" fillId="0" borderId="0" xfId="0" applyFont="1"/>
    <xf numFmtId="0" fontId="3" fillId="0" borderId="0" xfId="0"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166" fontId="18" fillId="0" borderId="22" xfId="17" applyNumberFormat="1" applyFont="1" applyFill="1" applyBorder="1" applyAlignment="1">
      <alignment horizontal="left" wrapText="1"/>
    </xf>
    <xf numFmtId="0" fontId="55" fillId="4" borderId="3" xfId="17" applyFont="1" applyFill="1" applyBorder="1" applyAlignment="1"/>
    <xf numFmtId="0" fontId="55" fillId="4" borderId="8" xfId="17" applyFont="1" applyFill="1" applyBorder="1" applyAlignment="1"/>
    <xf numFmtId="0" fontId="55" fillId="4" borderId="4" xfId="17" applyFont="1" applyFill="1" applyBorder="1" applyAlignment="1"/>
    <xf numFmtId="0" fontId="55" fillId="0" borderId="0" xfId="17" applyFont="1" applyFill="1" applyAlignment="1">
      <alignment vertical="center"/>
    </xf>
    <xf numFmtId="0" fontId="69" fillId="0" borderId="0" xfId="17" applyFont="1" applyFill="1" applyAlignment="1">
      <alignment vertical="center"/>
    </xf>
    <xf numFmtId="0" fontId="70" fillId="0" borderId="0" xfId="17" applyFont="1" applyFill="1"/>
    <xf numFmtId="0" fontId="58" fillId="0" borderId="0" xfId="0" applyFont="1"/>
    <xf numFmtId="0" fontId="18" fillId="0" borderId="68" xfId="0" applyFont="1" applyBorder="1" applyAlignment="1">
      <alignment vertical="center" wrapText="1"/>
    </xf>
    <xf numFmtId="0" fontId="18" fillId="0" borderId="20" xfId="17" applyFont="1" applyFill="1" applyBorder="1" applyAlignment="1"/>
    <xf numFmtId="0" fontId="18" fillId="0" borderId="42" xfId="0" applyFont="1" applyFill="1" applyBorder="1" applyAlignment="1">
      <alignment horizontal="center" vertical="top" wrapText="1"/>
    </xf>
    <xf numFmtId="0" fontId="7" fillId="0" borderId="22" xfId="0" applyFont="1" applyBorder="1" applyAlignment="1">
      <alignment horizontal="center"/>
    </xf>
    <xf numFmtId="0" fontId="7" fillId="0" borderId="42" xfId="0" applyFont="1" applyBorder="1" applyAlignment="1">
      <alignment horizontal="center"/>
    </xf>
    <xf numFmtId="0" fontId="7" fillId="0" borderId="36" xfId="0" applyFont="1" applyBorder="1" applyAlignment="1">
      <alignment horizontal="center"/>
    </xf>
    <xf numFmtId="0" fontId="7" fillId="0" borderId="46" xfId="0" applyFont="1" applyBorder="1" applyAlignment="1">
      <alignment horizontal="center"/>
    </xf>
    <xf numFmtId="0" fontId="7" fillId="0" borderId="24" xfId="0" applyFont="1" applyBorder="1" applyAlignment="1">
      <alignment horizontal="center"/>
    </xf>
    <xf numFmtId="0" fontId="18" fillId="0" borderId="2" xfId="0" applyFont="1" applyBorder="1" applyAlignment="1">
      <alignment horizontal="left" vertical="center" wrapText="1"/>
    </xf>
    <xf numFmtId="0" fontId="18" fillId="0" borderId="2" xfId="0" applyFont="1" applyBorder="1" applyAlignment="1">
      <alignment vertical="center" wrapText="1"/>
    </xf>
    <xf numFmtId="0" fontId="58" fillId="0" borderId="21" xfId="18" applyFont="1" applyFill="1" applyBorder="1" applyAlignment="1">
      <alignment horizontal="left" vertical="center" wrapText="1"/>
    </xf>
    <xf numFmtId="0" fontId="58" fillId="0" borderId="23" xfId="18" applyFont="1" applyFill="1" applyBorder="1" applyAlignment="1">
      <alignment horizontal="left" vertical="center" wrapText="1"/>
    </xf>
    <xf numFmtId="0" fontId="58" fillId="0" borderId="6" xfId="18" applyFont="1" applyFill="1" applyBorder="1" applyAlignment="1">
      <alignment horizontal="left" vertical="center" wrapText="1"/>
    </xf>
    <xf numFmtId="0" fontId="62" fillId="0" borderId="4" xfId="1" applyFont="1" applyFill="1" applyBorder="1" applyAlignment="1">
      <alignment horizontal="center" vertical="center" wrapText="1"/>
    </xf>
    <xf numFmtId="0" fontId="62" fillId="0" borderId="37" xfId="1" applyFont="1" applyFill="1" applyBorder="1" applyAlignment="1">
      <alignment horizontal="center" vertical="center" wrapText="1"/>
    </xf>
    <xf numFmtId="0" fontId="58" fillId="0" borderId="0" xfId="0" applyFont="1" applyFill="1" applyBorder="1" applyAlignment="1">
      <alignment horizontal="center" vertical="center" wrapText="1"/>
    </xf>
    <xf numFmtId="0" fontId="56" fillId="0" borderId="4" xfId="0" applyFont="1" applyBorder="1"/>
    <xf numFmtId="0" fontId="56" fillId="0" borderId="0" xfId="0" applyFont="1" applyAlignment="1">
      <alignment horizontal="left"/>
    </xf>
    <xf numFmtId="0" fontId="56" fillId="0" borderId="0" xfId="11" applyFont="1"/>
    <xf numFmtId="0" fontId="55" fillId="2" borderId="8" xfId="17" applyFont="1" applyFill="1" applyBorder="1" applyAlignment="1"/>
    <xf numFmtId="0" fontId="18" fillId="0" borderId="3" xfId="0" quotePrefix="1" applyFont="1" applyFill="1" applyBorder="1" applyAlignment="1">
      <alignment horizontal="left" vertical="center" wrapText="1"/>
    </xf>
    <xf numFmtId="166" fontId="18" fillId="0" borderId="9" xfId="17" applyNumberFormat="1" applyFont="1" applyFill="1" applyBorder="1" applyAlignment="1">
      <alignment horizontal="left" wrapText="1"/>
    </xf>
    <xf numFmtId="0" fontId="22" fillId="0" borderId="23" xfId="17" applyFont="1" applyFill="1" applyBorder="1" applyAlignment="1">
      <alignment horizontal="center"/>
    </xf>
    <xf numFmtId="0" fontId="22" fillId="0" borderId="6" xfId="17" applyFont="1" applyFill="1" applyBorder="1" applyAlignment="1">
      <alignment horizontal="center"/>
    </xf>
    <xf numFmtId="0" fontId="19" fillId="0" borderId="0" xfId="17" applyFont="1" applyFill="1" applyBorder="1"/>
    <xf numFmtId="0" fontId="18" fillId="4" borderId="69" xfId="17" applyFont="1" applyFill="1" applyBorder="1" applyAlignment="1"/>
    <xf numFmtId="0" fontId="18" fillId="4" borderId="1" xfId="17" applyFont="1" applyFill="1" applyBorder="1" applyAlignment="1"/>
    <xf numFmtId="0" fontId="18" fillId="4" borderId="3" xfId="17" applyFont="1" applyFill="1" applyBorder="1" applyAlignment="1"/>
    <xf numFmtId="0" fontId="18" fillId="4" borderId="9" xfId="17" applyFont="1" applyFill="1" applyBorder="1" applyAlignment="1"/>
    <xf numFmtId="0" fontId="18" fillId="4" borderId="8" xfId="17" applyFont="1" applyFill="1" applyBorder="1" applyAlignment="1"/>
    <xf numFmtId="0" fontId="18" fillId="4" borderId="37" xfId="17" applyFont="1" applyFill="1" applyBorder="1" applyAlignment="1"/>
    <xf numFmtId="0" fontId="18" fillId="4" borderId="4" xfId="17" applyFont="1" applyFill="1" applyBorder="1" applyAlignment="1"/>
    <xf numFmtId="166" fontId="18" fillId="0" borderId="9" xfId="17" applyNumberFormat="1" applyFont="1" applyFill="1" applyBorder="1" applyAlignment="1"/>
    <xf numFmtId="0" fontId="18" fillId="0" borderId="6" xfId="17" applyFont="1" applyFill="1" applyBorder="1" applyAlignment="1">
      <alignment horizontal="left"/>
    </xf>
    <xf numFmtId="0" fontId="5" fillId="7" borderId="0" xfId="0" applyFont="1" applyFill="1"/>
    <xf numFmtId="0" fontId="18" fillId="7" borderId="1" xfId="0" applyFont="1" applyFill="1" applyBorder="1" applyAlignment="1">
      <alignment horizontal="left"/>
    </xf>
    <xf numFmtId="0" fontId="22" fillId="0" borderId="0" xfId="17" applyFont="1"/>
    <xf numFmtId="1" fontId="22" fillId="0" borderId="0" xfId="3" applyNumberFormat="1" applyFont="1" applyFill="1" applyBorder="1" applyAlignment="1">
      <alignment horizontal="left" vertical="center"/>
    </xf>
    <xf numFmtId="0" fontId="18" fillId="0" borderId="0" xfId="17" applyFont="1" applyAlignment="1">
      <alignment vertical="top" wrapText="1"/>
    </xf>
    <xf numFmtId="0" fontId="18" fillId="0" borderId="0" xfId="17" applyFont="1"/>
    <xf numFmtId="0" fontId="18" fillId="0" borderId="0" xfId="17" applyFont="1" applyBorder="1" applyAlignment="1">
      <alignment horizontal="right" vertical="top" wrapText="1"/>
    </xf>
    <xf numFmtId="0" fontId="18" fillId="0" borderId="0" xfId="17" applyFont="1" applyBorder="1" applyAlignment="1">
      <alignment horizontal="left" vertical="top"/>
    </xf>
    <xf numFmtId="0" fontId="18" fillId="0" borderId="0" xfId="17" applyFont="1" applyBorder="1" applyAlignment="1">
      <alignment vertical="top"/>
    </xf>
    <xf numFmtId="0" fontId="18" fillId="0" borderId="0" xfId="0" applyFont="1" applyBorder="1" applyAlignment="1">
      <alignment horizontal="right"/>
    </xf>
    <xf numFmtId="0" fontId="61" fillId="0" borderId="4" xfId="0" applyFont="1" applyBorder="1" applyAlignment="1">
      <alignment horizontal="left" vertical="top" wrapText="1"/>
    </xf>
    <xf numFmtId="0" fontId="5" fillId="0" borderId="0" xfId="11"/>
    <xf numFmtId="0" fontId="3" fillId="2" borderId="0" xfId="11" applyFont="1" applyFill="1" applyAlignment="1">
      <alignment horizontal="right"/>
    </xf>
    <xf numFmtId="0" fontId="18" fillId="0" borderId="0" xfId="11" applyFont="1" applyFill="1" applyBorder="1" applyAlignment="1"/>
    <xf numFmtId="0" fontId="5" fillId="0" borderId="0" xfId="11" applyBorder="1" applyAlignment="1">
      <alignment horizontal="left" vertical="top" wrapText="1"/>
    </xf>
    <xf numFmtId="0" fontId="5" fillId="0" borderId="2" xfId="11" applyBorder="1" applyAlignment="1">
      <alignment horizontal="left" vertical="top" wrapText="1"/>
    </xf>
    <xf numFmtId="0" fontId="18" fillId="0" borderId="0" xfId="11" applyFont="1" applyFill="1" applyBorder="1"/>
    <xf numFmtId="0" fontId="18" fillId="0" borderId="22" xfId="11" applyFont="1" applyFill="1" applyBorder="1" applyAlignment="1"/>
    <xf numFmtId="0" fontId="18" fillId="0" borderId="0" xfId="11" applyFont="1" applyBorder="1" applyAlignment="1">
      <alignment vertical="top" wrapText="1"/>
    </xf>
    <xf numFmtId="0" fontId="18" fillId="0" borderId="24" xfId="11" applyFont="1" applyFill="1" applyBorder="1" applyAlignment="1"/>
    <xf numFmtId="0" fontId="5" fillId="0" borderId="0" xfId="11" applyFont="1" applyBorder="1" applyAlignment="1">
      <alignment horizontal="left" vertical="top" wrapText="1"/>
    </xf>
    <xf numFmtId="0" fontId="5" fillId="0" borderId="2" xfId="11" applyFont="1" applyBorder="1" applyAlignment="1">
      <alignment horizontal="left" vertical="top" wrapText="1"/>
    </xf>
    <xf numFmtId="0" fontId="22" fillId="0" borderId="0" xfId="11" applyFont="1" applyFill="1" applyBorder="1"/>
    <xf numFmtId="0" fontId="18" fillId="0" borderId="0" xfId="11" applyFont="1" applyBorder="1"/>
    <xf numFmtId="0" fontId="18" fillId="0" borderId="0" xfId="11" applyFont="1" applyBorder="1" applyAlignment="1"/>
    <xf numFmtId="0" fontId="22" fillId="0" borderId="0" xfId="11" applyFont="1" applyBorder="1"/>
    <xf numFmtId="0" fontId="18" fillId="0" borderId="0" xfId="11" applyFont="1" applyBorder="1" applyAlignment="1">
      <alignment wrapText="1"/>
    </xf>
    <xf numFmtId="0" fontId="18" fillId="0" borderId="2" xfId="11" applyFont="1" applyBorder="1" applyAlignment="1">
      <alignment wrapText="1"/>
    </xf>
    <xf numFmtId="0" fontId="18" fillId="0" borderId="22" xfId="11" applyFont="1" applyFill="1" applyBorder="1"/>
    <xf numFmtId="0" fontId="18" fillId="0" borderId="2" xfId="11" applyFont="1" applyBorder="1" applyAlignment="1"/>
    <xf numFmtId="0" fontId="5" fillId="0" borderId="0" xfId="0" applyFont="1" applyBorder="1"/>
    <xf numFmtId="0" fontId="18" fillId="0" borderId="5" xfId="0" applyFont="1" applyBorder="1" applyAlignment="1">
      <alignment horizontal="left" vertical="center" wrapText="1"/>
    </xf>
    <xf numFmtId="0" fontId="6" fillId="0" borderId="0" xfId="0" applyFont="1" applyAlignment="1"/>
    <xf numFmtId="0" fontId="6" fillId="0" borderId="24" xfId="0" applyFont="1" applyBorder="1" applyAlignment="1"/>
    <xf numFmtId="0" fontId="18" fillId="0" borderId="1" xfId="0" applyFont="1" applyBorder="1" applyAlignment="1">
      <alignment horizontal="left" vertical="center" wrapText="1"/>
    </xf>
    <xf numFmtId="0" fontId="5" fillId="0" borderId="0" xfId="0" applyFont="1" applyAlignment="1">
      <alignment horizontal="left"/>
    </xf>
    <xf numFmtId="0" fontId="6" fillId="0" borderId="24" xfId="0" applyFont="1" applyBorder="1" applyAlignment="1">
      <alignment horizontal="left"/>
    </xf>
    <xf numFmtId="0" fontId="6" fillId="0" borderId="0" xfId="0" applyFont="1" applyBorder="1" applyAlignment="1">
      <alignment horizontal="left"/>
    </xf>
    <xf numFmtId="0" fontId="5" fillId="0" borderId="3" xfId="0" applyFont="1" applyBorder="1" applyAlignment="1">
      <alignment horizontal="left"/>
    </xf>
    <xf numFmtId="0" fontId="22" fillId="0" borderId="45" xfId="0" applyFont="1" applyFill="1" applyBorder="1" applyAlignment="1">
      <alignment horizontal="left" vertical="top" wrapText="1"/>
    </xf>
    <xf numFmtId="0" fontId="5" fillId="0" borderId="11" xfId="0" applyFont="1" applyBorder="1" applyAlignment="1">
      <alignment horizontal="left"/>
    </xf>
    <xf numFmtId="0" fontId="5" fillId="0" borderId="5" xfId="0" applyFont="1" applyBorder="1" applyAlignment="1">
      <alignment horizontal="left"/>
    </xf>
    <xf numFmtId="0" fontId="5" fillId="0" borderId="10" xfId="0" applyFont="1" applyBorder="1" applyAlignment="1">
      <alignment horizontal="left"/>
    </xf>
    <xf numFmtId="0" fontId="7" fillId="0" borderId="8" xfId="0" applyFont="1" applyBorder="1" applyAlignment="1">
      <alignment horizontal="left"/>
    </xf>
    <xf numFmtId="0" fontId="7" fillId="0" borderId="7" xfId="0" applyFont="1" applyBorder="1" applyAlignment="1">
      <alignment horizontal="left"/>
    </xf>
    <xf numFmtId="0" fontId="7" fillId="0" borderId="4" xfId="0" applyFont="1" applyBorder="1" applyAlignment="1">
      <alignment horizontal="left"/>
    </xf>
    <xf numFmtId="0" fontId="5" fillId="0" borderId="45" xfId="0" applyFont="1" applyBorder="1" applyAlignment="1">
      <alignment horizontal="left"/>
    </xf>
    <xf numFmtId="0" fontId="7" fillId="0" borderId="18" xfId="0" applyFont="1" applyBorder="1" applyAlignment="1">
      <alignment horizontal="left"/>
    </xf>
    <xf numFmtId="0" fontId="5" fillId="0" borderId="12" xfId="0" applyFont="1" applyBorder="1" applyAlignment="1">
      <alignment horizontal="left"/>
    </xf>
    <xf numFmtId="0" fontId="7" fillId="0" borderId="6" xfId="0" applyFont="1" applyBorder="1" applyAlignment="1">
      <alignment horizontal="left"/>
    </xf>
    <xf numFmtId="0" fontId="7" fillId="0" borderId="0" xfId="0" applyFont="1" applyAlignment="1">
      <alignment horizontal="left"/>
    </xf>
    <xf numFmtId="0" fontId="22" fillId="0" borderId="49" xfId="0" applyFont="1" applyFill="1" applyBorder="1" applyAlignment="1">
      <alignment horizontal="left" vertical="top" wrapText="1"/>
    </xf>
    <xf numFmtId="0" fontId="18" fillId="0" borderId="39" xfId="0" applyFont="1" applyFill="1" applyBorder="1" applyAlignment="1">
      <alignment horizontal="left" vertical="top" wrapText="1"/>
    </xf>
    <xf numFmtId="0" fontId="18" fillId="0" borderId="37" xfId="0" applyFont="1" applyFill="1" applyBorder="1" applyAlignment="1">
      <alignment horizontal="left" vertical="top" wrapText="1"/>
    </xf>
    <xf numFmtId="0" fontId="7" fillId="0" borderId="9" xfId="0" applyFont="1" applyBorder="1" applyAlignment="1">
      <alignment horizontal="left"/>
    </xf>
    <xf numFmtId="0" fontId="7" fillId="0" borderId="39" xfId="0" applyFont="1" applyBorder="1" applyAlignment="1">
      <alignment horizontal="left"/>
    </xf>
    <xf numFmtId="0" fontId="7" fillId="0" borderId="37" xfId="0" applyFont="1" applyBorder="1" applyAlignment="1">
      <alignment horizontal="left"/>
    </xf>
    <xf numFmtId="0" fontId="7" fillId="0" borderId="44" xfId="0" applyFont="1" applyBorder="1" applyAlignment="1">
      <alignment horizontal="left"/>
    </xf>
    <xf numFmtId="0" fontId="7" fillId="0" borderId="23" xfId="0" applyFont="1" applyBorder="1" applyAlignment="1">
      <alignment horizontal="left"/>
    </xf>
    <xf numFmtId="0" fontId="22" fillId="0" borderId="18" xfId="0" applyFont="1" applyFill="1" applyBorder="1" applyAlignment="1">
      <alignment horizontal="left" vertical="top" wrapText="1"/>
    </xf>
    <xf numFmtId="0" fontId="22" fillId="0" borderId="46" xfId="0" applyFont="1" applyFill="1" applyBorder="1" applyAlignment="1">
      <alignment horizontal="left" vertical="top" wrapText="1"/>
    </xf>
    <xf numFmtId="0" fontId="18" fillId="0" borderId="42" xfId="0" applyFont="1" applyFill="1" applyBorder="1" applyAlignment="1">
      <alignment horizontal="left" vertical="top" wrapText="1"/>
    </xf>
    <xf numFmtId="0" fontId="18" fillId="0" borderId="36" xfId="0" applyFont="1" applyFill="1" applyBorder="1" applyAlignment="1">
      <alignment horizontal="left" vertical="top" wrapText="1"/>
    </xf>
    <xf numFmtId="0" fontId="7" fillId="0" borderId="22" xfId="0" applyFont="1" applyBorder="1" applyAlignment="1">
      <alignment horizontal="left"/>
    </xf>
    <xf numFmtId="0" fontId="7" fillId="0" borderId="42" xfId="0" applyFont="1" applyBorder="1" applyAlignment="1">
      <alignment horizontal="left"/>
    </xf>
    <xf numFmtId="0" fontId="7" fillId="0" borderId="36" xfId="0" applyFont="1" applyBorder="1" applyAlignment="1">
      <alignment horizontal="left"/>
    </xf>
    <xf numFmtId="0" fontId="7" fillId="0" borderId="46" xfId="0" applyFont="1" applyBorder="1" applyAlignment="1">
      <alignment horizontal="left"/>
    </xf>
    <xf numFmtId="0" fontId="7" fillId="0" borderId="24" xfId="0" applyFont="1" applyBorder="1" applyAlignment="1">
      <alignment horizontal="left"/>
    </xf>
    <xf numFmtId="0" fontId="18" fillId="0" borderId="24" xfId="17" applyFont="1" applyFill="1" applyBorder="1" applyAlignment="1">
      <alignment horizontal="left" wrapText="1"/>
    </xf>
    <xf numFmtId="0" fontId="0" fillId="0" borderId="6" xfId="0" applyFill="1" applyBorder="1"/>
    <xf numFmtId="0" fontId="18" fillId="0" borderId="22" xfId="0" applyFont="1" applyFill="1" applyBorder="1" applyAlignment="1">
      <alignment horizontal="center" vertical="center" wrapText="1"/>
    </xf>
    <xf numFmtId="166" fontId="22" fillId="2" borderId="0" xfId="17" applyNumberFormat="1" applyFont="1" applyFill="1" applyBorder="1" applyAlignment="1">
      <alignment vertical="top"/>
    </xf>
    <xf numFmtId="0" fontId="18" fillId="0" borderId="6" xfId="11" applyFont="1" applyBorder="1" applyAlignment="1">
      <alignment horizontal="center" vertical="center"/>
    </xf>
    <xf numFmtId="0" fontId="39" fillId="0" borderId="0" xfId="0" applyFont="1" applyAlignment="1">
      <alignment horizontal="center" vertical="center" wrapText="1"/>
    </xf>
    <xf numFmtId="0" fontId="18" fillId="0" borderId="0" xfId="0" applyFont="1" applyBorder="1" applyAlignment="1">
      <alignment vertical="top"/>
    </xf>
    <xf numFmtId="166" fontId="22" fillId="0" borderId="4" xfId="0" applyNumberFormat="1" applyFont="1" applyBorder="1" applyAlignment="1">
      <alignment horizontal="center" vertical="top" wrapText="1"/>
    </xf>
    <xf numFmtId="0" fontId="18" fillId="0" borderId="8" xfId="0" applyFont="1" applyBorder="1" applyAlignment="1">
      <alignment horizontal="center" vertical="center" wrapText="1"/>
    </xf>
    <xf numFmtId="0" fontId="18" fillId="7" borderId="4" xfId="0" applyNumberFormat="1" applyFont="1" applyFill="1" applyBorder="1" applyAlignment="1">
      <alignment horizontal="center" vertical="center" wrapText="1"/>
    </xf>
    <xf numFmtId="0" fontId="18" fillId="0" borderId="0" xfId="17" applyFont="1" applyFill="1" applyBorder="1" applyAlignment="1">
      <alignment vertical="top"/>
    </xf>
    <xf numFmtId="166" fontId="5" fillId="0" borderId="1" xfId="17" applyNumberFormat="1" applyFont="1" applyBorder="1" applyAlignment="1"/>
    <xf numFmtId="0" fontId="5" fillId="0" borderId="0" xfId="17" applyFont="1" applyBorder="1" applyAlignment="1"/>
    <xf numFmtId="0" fontId="5" fillId="0" borderId="0" xfId="17" applyFont="1" applyBorder="1" applyAlignment="1">
      <alignment horizontal="left"/>
    </xf>
    <xf numFmtId="0" fontId="5" fillId="0" borderId="2" xfId="17" applyFont="1" applyBorder="1" applyAlignment="1"/>
    <xf numFmtId="166" fontId="5" fillId="0" borderId="23" xfId="17" applyNumberFormat="1" applyFont="1" applyBorder="1" applyAlignment="1"/>
    <xf numFmtId="0" fontId="18" fillId="0" borderId="24" xfId="17" applyFont="1" applyFill="1" applyBorder="1" applyAlignment="1">
      <alignment vertical="top" wrapText="1"/>
    </xf>
    <xf numFmtId="0" fontId="5" fillId="0" borderId="24" xfId="17" applyFont="1" applyBorder="1" applyAlignment="1"/>
    <xf numFmtId="0" fontId="18" fillId="0" borderId="12" xfId="17" applyFont="1" applyBorder="1" applyAlignment="1">
      <alignment vertical="top" wrapText="1"/>
    </xf>
    <xf numFmtId="0" fontId="5" fillId="0" borderId="23" xfId="17" applyFont="1" applyBorder="1" applyAlignment="1"/>
    <xf numFmtId="0" fontId="5" fillId="0" borderId="12" xfId="17" applyFont="1" applyBorder="1" applyAlignment="1"/>
    <xf numFmtId="0" fontId="18" fillId="0" borderId="1" xfId="0" applyFont="1" applyFill="1" applyBorder="1" applyAlignment="1">
      <alignment vertical="top"/>
    </xf>
    <xf numFmtId="0" fontId="18" fillId="0" borderId="1" xfId="0" applyFont="1" applyFill="1" applyBorder="1" applyAlignment="1"/>
    <xf numFmtId="0" fontId="18" fillId="0" borderId="24" xfId="11" applyFont="1" applyBorder="1" applyAlignment="1">
      <alignment wrapText="1"/>
    </xf>
    <xf numFmtId="166" fontId="22" fillId="0" borderId="9" xfId="17" applyNumberFormat="1" applyFont="1" applyFill="1" applyBorder="1" applyAlignment="1">
      <alignment horizontal="left" vertical="top"/>
    </xf>
    <xf numFmtId="0" fontId="19" fillId="0" borderId="22" xfId="0" applyFont="1" applyBorder="1" applyAlignment="1">
      <alignment vertical="top"/>
    </xf>
    <xf numFmtId="0" fontId="19" fillId="0" borderId="10" xfId="0" applyFont="1" applyBorder="1" applyAlignment="1">
      <alignment vertical="top"/>
    </xf>
    <xf numFmtId="166" fontId="22" fillId="0" borderId="22" xfId="17" applyNumberFormat="1" applyFont="1" applyFill="1" applyBorder="1" applyAlignment="1">
      <alignment horizontal="left" vertical="top"/>
    </xf>
    <xf numFmtId="0" fontId="7" fillId="0" borderId="1" xfId="17" applyFont="1" applyFill="1" applyBorder="1" applyAlignment="1">
      <alignment vertical="top" wrapText="1"/>
    </xf>
    <xf numFmtId="0" fontId="7" fillId="0" borderId="0" xfId="17" applyFont="1" applyFill="1" applyBorder="1" applyAlignment="1">
      <alignment vertical="top" wrapText="1"/>
    </xf>
    <xf numFmtId="0" fontId="7" fillId="0" borderId="2" xfId="17" applyFont="1" applyFill="1" applyBorder="1" applyAlignment="1">
      <alignment vertical="top" wrapText="1"/>
    </xf>
    <xf numFmtId="0" fontId="18" fillId="0" borderId="1" xfId="17" applyFont="1" applyFill="1" applyBorder="1" applyAlignment="1">
      <alignment vertical="top"/>
    </xf>
    <xf numFmtId="0" fontId="18" fillId="0" borderId="1" xfId="17" applyFont="1" applyFill="1" applyBorder="1" applyAlignment="1">
      <alignment horizontal="center" vertical="top"/>
    </xf>
    <xf numFmtId="0" fontId="18" fillId="0" borderId="0" xfId="17" applyFont="1" applyFill="1" applyBorder="1" applyAlignment="1">
      <alignment horizontal="center" vertical="top"/>
    </xf>
    <xf numFmtId="0" fontId="18" fillId="0" borderId="2" xfId="17" applyFont="1" applyFill="1" applyBorder="1" applyAlignment="1">
      <alignment horizontal="center" vertical="top"/>
    </xf>
    <xf numFmtId="0" fontId="18" fillId="0" borderId="23" xfId="17" applyFont="1" applyFill="1" applyBorder="1" applyAlignment="1">
      <alignment horizontal="center" vertical="top"/>
    </xf>
    <xf numFmtId="0" fontId="18" fillId="0" borderId="24" xfId="17" applyFont="1" applyFill="1" applyBorder="1" applyAlignment="1">
      <alignment horizontal="center" vertical="top"/>
    </xf>
    <xf numFmtId="0" fontId="18" fillId="0" borderId="12" xfId="17" applyFont="1" applyFill="1" applyBorder="1" applyAlignment="1">
      <alignment horizontal="center" vertical="top"/>
    </xf>
    <xf numFmtId="0" fontId="18" fillId="2" borderId="0" xfId="17" applyFont="1" applyFill="1" applyBorder="1" applyAlignment="1">
      <alignment horizontal="center" vertical="top" wrapText="1"/>
    </xf>
    <xf numFmtId="0" fontId="18" fillId="0" borderId="4" xfId="17" applyFont="1" applyFill="1" applyBorder="1" applyAlignment="1">
      <alignment horizontal="center" vertical="top"/>
    </xf>
    <xf numFmtId="0" fontId="18" fillId="0" borderId="1" xfId="0" applyFont="1" applyBorder="1"/>
    <xf numFmtId="0" fontId="19" fillId="0" borderId="8" xfId="0" applyFont="1" applyBorder="1"/>
    <xf numFmtId="0" fontId="19" fillId="0" borderId="6" xfId="0" applyFont="1" applyBorder="1"/>
    <xf numFmtId="0" fontId="10" fillId="0" borderId="0" xfId="17" applyFont="1" applyFill="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2" fillId="0" borderId="12" xfId="17" applyFont="1" applyFill="1" applyBorder="1" applyAlignment="1">
      <alignment horizontal="left"/>
    </xf>
    <xf numFmtId="0" fontId="2" fillId="0" borderId="6" xfId="17" applyFont="1" applyFill="1" applyBorder="1" applyAlignment="1">
      <alignment horizontal="left"/>
    </xf>
    <xf numFmtId="0" fontId="2" fillId="0" borderId="4" xfId="17" applyFont="1" applyFill="1" applyBorder="1" applyAlignment="1">
      <alignment horizontal="left"/>
    </xf>
    <xf numFmtId="0" fontId="2" fillId="0" borderId="5" xfId="17" applyFont="1" applyFill="1" applyBorder="1" applyAlignment="1">
      <alignment horizontal="left"/>
    </xf>
    <xf numFmtId="0" fontId="10" fillId="0" borderId="0" xfId="17" applyFont="1" applyFill="1" applyBorder="1" applyAlignment="1">
      <alignment horizontal="left"/>
    </xf>
    <xf numFmtId="0" fontId="2" fillId="0" borderId="0" xfId="0" applyFont="1" applyFill="1" applyBorder="1" applyAlignment="1">
      <alignment horizontal="left"/>
    </xf>
    <xf numFmtId="0" fontId="5" fillId="0" borderId="3" xfId="0" applyFont="1" applyBorder="1"/>
    <xf numFmtId="0" fontId="58" fillId="2" borderId="0" xfId="17" applyFont="1" applyFill="1" applyBorder="1" applyAlignment="1">
      <alignment horizontal="left" vertical="center" wrapText="1"/>
    </xf>
    <xf numFmtId="0" fontId="22" fillId="0" borderId="2" xfId="17" applyFont="1" applyFill="1" applyBorder="1" applyAlignment="1">
      <alignment vertical="center" wrapText="1"/>
    </xf>
    <xf numFmtId="0" fontId="18" fillId="2" borderId="1" xfId="17" applyFont="1" applyFill="1" applyBorder="1" applyAlignment="1">
      <alignment vertical="top" wrapText="1"/>
    </xf>
    <xf numFmtId="0" fontId="7" fillId="2" borderId="1" xfId="17" applyFont="1" applyFill="1" applyBorder="1"/>
    <xf numFmtId="0" fontId="18" fillId="3" borderId="23" xfId="17" applyFont="1" applyFill="1" applyBorder="1" applyAlignment="1">
      <alignment vertical="top"/>
    </xf>
    <xf numFmtId="166" fontId="22" fillId="2" borderId="5" xfId="17" applyNumberFormat="1" applyFont="1" applyFill="1" applyBorder="1" applyAlignment="1">
      <alignment horizontal="left" vertical="top"/>
    </xf>
    <xf numFmtId="0" fontId="5" fillId="0" borderId="1" xfId="0" applyFont="1" applyBorder="1"/>
    <xf numFmtId="0" fontId="18" fillId="0" borderId="23" xfId="17" applyFont="1" applyFill="1" applyBorder="1"/>
    <xf numFmtId="166" fontId="22" fillId="0" borderId="22" xfId="17" applyNumberFormat="1" applyFont="1" applyFill="1" applyBorder="1" applyAlignment="1">
      <alignment horizontal="left" vertical="top" wrapText="1"/>
    </xf>
    <xf numFmtId="0" fontId="22" fillId="0" borderId="6" xfId="17" applyFont="1" applyFill="1" applyBorder="1" applyAlignment="1">
      <alignment horizontal="center" wrapText="1"/>
    </xf>
    <xf numFmtId="0" fontId="18" fillId="0" borderId="3" xfId="0" applyFont="1" applyBorder="1" applyAlignment="1">
      <alignment wrapText="1"/>
    </xf>
    <xf numFmtId="0" fontId="56" fillId="0" borderId="6" xfId="0" applyFont="1" applyBorder="1" applyAlignment="1">
      <alignment horizontal="left" vertical="top" wrapText="1"/>
    </xf>
    <xf numFmtId="0" fontId="22" fillId="0" borderId="6" xfId="0" applyFont="1" applyBorder="1" applyAlignment="1">
      <alignment horizontal="center" vertical="center" wrapText="1"/>
    </xf>
    <xf numFmtId="0" fontId="18" fillId="0" borderId="12" xfId="0" applyFont="1" applyBorder="1" applyAlignment="1">
      <alignment horizontal="left" vertical="center" wrapText="1"/>
    </xf>
    <xf numFmtId="0" fontId="22" fillId="0" borderId="15" xfId="17" applyNumberFormat="1" applyFont="1" applyFill="1" applyBorder="1" applyAlignment="1">
      <alignment horizontal="center" vertical="center"/>
    </xf>
    <xf numFmtId="0" fontId="61" fillId="0" borderId="4" xfId="0" applyFont="1" applyBorder="1" applyAlignment="1">
      <alignment horizontal="center" vertical="center" wrapText="1"/>
    </xf>
    <xf numFmtId="166" fontId="22" fillId="2" borderId="5" xfId="17" applyNumberFormat="1" applyFont="1" applyFill="1" applyBorder="1" applyAlignment="1">
      <alignment vertical="top"/>
    </xf>
    <xf numFmtId="0" fontId="22" fillId="0" borderId="8" xfId="0" applyFont="1" applyFill="1" applyBorder="1"/>
    <xf numFmtId="0" fontId="18" fillId="0" borderId="3" xfId="17" applyFont="1" applyFill="1" applyBorder="1" applyAlignment="1">
      <alignment vertical="distributed" wrapText="1"/>
    </xf>
    <xf numFmtId="0" fontId="19" fillId="0" borderId="3" xfId="0" applyFont="1" applyFill="1" applyBorder="1" applyAlignment="1">
      <alignment vertical="center" wrapText="1"/>
    </xf>
    <xf numFmtId="166" fontId="22" fillId="0" borderId="0" xfId="17" applyNumberFormat="1" applyFont="1" applyBorder="1" applyAlignment="1">
      <alignment horizontal="left"/>
    </xf>
    <xf numFmtId="166" fontId="22" fillId="0" borderId="15" xfId="17" applyNumberFormat="1" applyFont="1" applyFill="1" applyBorder="1" applyAlignment="1">
      <alignment horizontal="left" wrapText="1"/>
    </xf>
    <xf numFmtId="0" fontId="18" fillId="0" borderId="6" xfId="0" applyFont="1" applyBorder="1" applyAlignment="1">
      <alignment vertical="top" wrapText="1"/>
    </xf>
    <xf numFmtId="0" fontId="61" fillId="0" borderId="36" xfId="0" applyFont="1" applyBorder="1" applyAlignment="1">
      <alignment horizontal="center" vertical="center" wrapText="1"/>
    </xf>
    <xf numFmtId="0" fontId="71" fillId="0" borderId="4" xfId="0" applyFont="1" applyBorder="1" applyAlignment="1">
      <alignment horizontal="center" vertical="center" wrapText="1"/>
    </xf>
    <xf numFmtId="0" fontId="61" fillId="7" borderId="8" xfId="0" applyFont="1" applyFill="1" applyBorder="1" applyAlignment="1">
      <alignment horizontal="center" vertical="center" wrapText="1"/>
    </xf>
    <xf numFmtId="0" fontId="61" fillId="7" borderId="3" xfId="0" applyFont="1" applyFill="1" applyBorder="1" applyAlignment="1">
      <alignment horizontal="center" vertical="center" wrapText="1"/>
    </xf>
    <xf numFmtId="0" fontId="61" fillId="7" borderId="9" xfId="0" applyFont="1" applyFill="1" applyBorder="1" applyAlignment="1">
      <alignment horizontal="center" vertical="center" wrapText="1"/>
    </xf>
    <xf numFmtId="0" fontId="61" fillId="7" borderId="4" xfId="0" applyFont="1" applyFill="1" applyBorder="1" applyAlignment="1">
      <alignment horizontal="center" vertical="center" wrapText="1"/>
    </xf>
    <xf numFmtId="0" fontId="19" fillId="0" borderId="6" xfId="0" applyFont="1" applyBorder="1" applyAlignment="1">
      <alignment horizontal="center" vertical="center"/>
    </xf>
    <xf numFmtId="0" fontId="0" fillId="0" borderId="0" xfId="0" applyAlignment="1">
      <alignment horizontal="center" vertical="center"/>
    </xf>
    <xf numFmtId="0" fontId="58" fillId="0" borderId="4" xfId="11" applyFont="1" applyBorder="1"/>
    <xf numFmtId="0" fontId="58" fillId="0" borderId="4" xfId="11" applyFont="1" applyFill="1" applyBorder="1" applyAlignment="1">
      <alignment horizontal="left" vertical="top" wrapText="1"/>
    </xf>
    <xf numFmtId="0" fontId="58" fillId="0" borderId="4" xfId="11" applyFont="1" applyBorder="1" applyAlignment="1">
      <alignment horizontal="left" vertical="top" wrapText="1"/>
    </xf>
    <xf numFmtId="0" fontId="18" fillId="0" borderId="15" xfId="10" applyFont="1" applyFill="1" applyBorder="1" applyAlignment="1">
      <alignment horizontal="center" vertical="center" wrapText="1"/>
    </xf>
    <xf numFmtId="0" fontId="18" fillId="0" borderId="4" xfId="0" applyFont="1" applyBorder="1" applyAlignment="1">
      <alignment vertical="center"/>
    </xf>
    <xf numFmtId="0" fontId="18" fillId="0" borderId="6" xfId="10" applyFont="1" applyFill="1" applyBorder="1" applyAlignment="1">
      <alignment horizontal="left" vertical="center"/>
    </xf>
    <xf numFmtId="0" fontId="61" fillId="0" borderId="6" xfId="0" applyFont="1" applyBorder="1" applyAlignment="1">
      <alignment horizontal="left" vertical="center"/>
    </xf>
    <xf numFmtId="0" fontId="61" fillId="0" borderId="5" xfId="0" applyFont="1" applyBorder="1" applyAlignment="1">
      <alignment horizontal="left" vertical="center" wrapText="1"/>
    </xf>
    <xf numFmtId="0" fontId="18" fillId="0" borderId="14" xfId="10" applyFont="1" applyFill="1" applyBorder="1" applyAlignment="1">
      <alignment horizontal="center" vertical="center" wrapText="1"/>
    </xf>
    <xf numFmtId="0" fontId="22" fillId="0" borderId="0" xfId="0" applyFont="1" applyBorder="1" applyAlignment="1">
      <alignment wrapText="1"/>
    </xf>
    <xf numFmtId="0" fontId="22" fillId="0" borderId="0" xfId="0" applyFont="1" applyBorder="1" applyAlignment="1"/>
    <xf numFmtId="0" fontId="22" fillId="0" borderId="0" xfId="17" applyFont="1" applyBorder="1" applyAlignment="1">
      <alignment vertical="top"/>
    </xf>
    <xf numFmtId="0" fontId="18" fillId="0" borderId="8" xfId="17" applyFont="1" applyBorder="1" applyAlignment="1">
      <alignment vertical="top" wrapText="1"/>
    </xf>
    <xf numFmtId="0" fontId="22" fillId="0" borderId="6" xfId="0" applyFont="1" applyBorder="1" applyAlignment="1">
      <alignment wrapText="1"/>
    </xf>
    <xf numFmtId="0" fontId="11" fillId="2" borderId="0" xfId="17" applyFont="1" applyFill="1" applyAlignment="1">
      <alignment horizontal="center" vertical="center"/>
    </xf>
    <xf numFmtId="0" fontId="14" fillId="0" borderId="0" xfId="17" applyFont="1" applyAlignment="1">
      <alignment horizontal="center" vertical="center"/>
    </xf>
    <xf numFmtId="0" fontId="11" fillId="7" borderId="0" xfId="17" applyFont="1" applyFill="1" applyBorder="1" applyAlignment="1">
      <alignment horizontal="center" vertical="center"/>
    </xf>
    <xf numFmtId="0" fontId="57" fillId="2" borderId="0" xfId="17" applyFont="1" applyFill="1" applyBorder="1" applyAlignment="1">
      <alignment horizontal="left" vertical="top" wrapText="1"/>
    </xf>
    <xf numFmtId="0" fontId="57" fillId="2" borderId="0" xfId="17" applyFont="1" applyFill="1" applyBorder="1"/>
    <xf numFmtId="0" fontId="72" fillId="0" borderId="0" xfId="0" applyFont="1" applyAlignment="1">
      <alignment horizontal="left" vertical="top" wrapText="1"/>
    </xf>
    <xf numFmtId="0" fontId="18" fillId="0" borderId="24" xfId="11" applyFont="1" applyBorder="1" applyAlignment="1">
      <alignment vertical="top" wrapText="1"/>
    </xf>
    <xf numFmtId="0" fontId="4" fillId="0" borderId="0" xfId="17" applyFont="1" applyBorder="1" applyAlignment="1"/>
    <xf numFmtId="0" fontId="4" fillId="0" borderId="0" xfId="17" applyFont="1" applyBorder="1" applyAlignment="1">
      <alignment horizontal="left"/>
    </xf>
    <xf numFmtId="0" fontId="5" fillId="0" borderId="24" xfId="17" applyFont="1" applyBorder="1" applyAlignment="1">
      <alignment horizontal="left"/>
    </xf>
    <xf numFmtId="0" fontId="18" fillId="0" borderId="0" xfId="17" applyFont="1" applyBorder="1" applyAlignment="1">
      <alignment vertical="center"/>
    </xf>
    <xf numFmtId="0" fontId="0" fillId="8" borderId="37" xfId="0" applyFill="1" applyBorder="1"/>
    <xf numFmtId="0" fontId="0" fillId="8" borderId="36" xfId="0" applyFill="1" applyBorder="1"/>
    <xf numFmtId="0" fontId="0" fillId="8" borderId="5" xfId="0" applyFill="1" applyBorder="1"/>
    <xf numFmtId="0" fontId="5" fillId="0" borderId="1" xfId="17" applyFont="1" applyBorder="1" applyAlignment="1"/>
    <xf numFmtId="0" fontId="18" fillId="0" borderId="24" xfId="11" applyFont="1" applyFill="1" applyBorder="1"/>
    <xf numFmtId="0" fontId="18" fillId="0" borderId="0" xfId="0" applyFont="1" applyFill="1" applyBorder="1" applyAlignment="1"/>
    <xf numFmtId="0" fontId="18" fillId="0" borderId="24" xfId="17" applyFont="1" applyBorder="1" applyAlignment="1">
      <alignment vertical="center"/>
    </xf>
    <xf numFmtId="0" fontId="18" fillId="0" borderId="0" xfId="17" applyFont="1" applyBorder="1" applyAlignment="1">
      <alignment horizontal="right"/>
    </xf>
    <xf numFmtId="166" fontId="18" fillId="0" borderId="23" xfId="17" applyNumberFormat="1" applyFont="1" applyBorder="1" applyAlignment="1"/>
    <xf numFmtId="166" fontId="18" fillId="0" borderId="2" xfId="17" applyNumberFormat="1" applyFont="1" applyFill="1" applyBorder="1" applyAlignment="1"/>
    <xf numFmtId="0" fontId="5" fillId="0" borderId="10" xfId="17" applyFont="1" applyBorder="1" applyAlignment="1"/>
    <xf numFmtId="166" fontId="18" fillId="0" borderId="0" xfId="17" applyNumberFormat="1" applyFont="1" applyFill="1" applyBorder="1" applyAlignment="1">
      <alignment horizontal="left"/>
    </xf>
    <xf numFmtId="0" fontId="18" fillId="0" borderId="40" xfId="10" applyFont="1" applyFill="1" applyBorder="1" applyAlignment="1">
      <alignment horizontal="left" vertical="center" wrapText="1"/>
    </xf>
    <xf numFmtId="0" fontId="18" fillId="0" borderId="70" xfId="0" applyFont="1" applyBorder="1" applyAlignment="1">
      <alignment vertical="center" wrapText="1"/>
    </xf>
    <xf numFmtId="0" fontId="18" fillId="0" borderId="71" xfId="0" applyFont="1" applyBorder="1" applyAlignment="1">
      <alignment vertical="center" wrapText="1"/>
    </xf>
    <xf numFmtId="0" fontId="18" fillId="0" borderId="72" xfId="10" applyFont="1" applyFill="1" applyBorder="1" applyAlignment="1">
      <alignment horizontal="center" vertical="center" wrapText="1"/>
    </xf>
    <xf numFmtId="0" fontId="18" fillId="0" borderId="5" xfId="0" applyFont="1" applyBorder="1" applyAlignment="1">
      <alignment vertical="center" wrapText="1"/>
    </xf>
    <xf numFmtId="0" fontId="73" fillId="0" borderId="0" xfId="0" applyFont="1"/>
    <xf numFmtId="0" fontId="22" fillId="0" borderId="4" xfId="10" applyFont="1" applyFill="1" applyBorder="1" applyAlignment="1">
      <alignment horizontal="center" wrapText="1"/>
    </xf>
    <xf numFmtId="0" fontId="18" fillId="0" borderId="4" xfId="0" applyFont="1" applyBorder="1" applyAlignment="1">
      <alignment horizontal="center" wrapText="1"/>
    </xf>
    <xf numFmtId="0" fontId="18" fillId="0" borderId="5" xfId="10" applyFont="1" applyFill="1" applyBorder="1" applyAlignment="1">
      <alignment horizontal="left" vertical="center" wrapText="1"/>
    </xf>
    <xf numFmtId="0" fontId="18" fillId="0" borderId="41" xfId="0" applyFont="1" applyBorder="1" applyAlignment="1">
      <alignment vertical="center"/>
    </xf>
    <xf numFmtId="0" fontId="18" fillId="0" borderId="5" xfId="0" applyFont="1" applyBorder="1" applyAlignment="1">
      <alignment vertical="center"/>
    </xf>
    <xf numFmtId="0" fontId="18" fillId="0" borderId="24" xfId="0" applyFont="1" applyBorder="1" applyAlignment="1">
      <alignment horizontal="left" vertical="center" wrapText="1"/>
    </xf>
    <xf numFmtId="0" fontId="18" fillId="0" borderId="2" xfId="0" applyFont="1" applyBorder="1" applyAlignment="1">
      <alignment horizontal="left" vertical="center"/>
    </xf>
    <xf numFmtId="0" fontId="0" fillId="7" borderId="36" xfId="0" applyFill="1" applyBorder="1"/>
    <xf numFmtId="0" fontId="0" fillId="7" borderId="5" xfId="0" applyFill="1" applyBorder="1"/>
    <xf numFmtId="0" fontId="18" fillId="0" borderId="73" xfId="0" applyFont="1" applyBorder="1" applyAlignment="1">
      <alignment vertical="center" wrapText="1"/>
    </xf>
    <xf numFmtId="0" fontId="18" fillId="0" borderId="41" xfId="0" applyFont="1" applyBorder="1" applyAlignment="1">
      <alignment vertical="center" wrapText="1"/>
    </xf>
    <xf numFmtId="0" fontId="18" fillId="0" borderId="74" xfId="0" applyFont="1" applyBorder="1" applyAlignment="1">
      <alignment vertical="center" wrapText="1"/>
    </xf>
    <xf numFmtId="0" fontId="18" fillId="0" borderId="75" xfId="0" applyFont="1" applyBorder="1" applyAlignment="1">
      <alignment vertical="center" wrapText="1"/>
    </xf>
    <xf numFmtId="0" fontId="18" fillId="0" borderId="76" xfId="0" applyFont="1" applyBorder="1" applyAlignment="1">
      <alignment vertical="center" wrapText="1"/>
    </xf>
    <xf numFmtId="0" fontId="61" fillId="0" borderId="4" xfId="0" applyFont="1" applyBorder="1" applyAlignment="1">
      <alignment horizontal="left" vertical="center"/>
    </xf>
    <xf numFmtId="0" fontId="18" fillId="0" borderId="14" xfId="0" applyFont="1" applyBorder="1" applyAlignment="1">
      <alignment horizontal="center" vertical="center"/>
    </xf>
    <xf numFmtId="0" fontId="5" fillId="0" borderId="7" xfId="0" applyFont="1" applyFill="1" applyBorder="1" applyAlignment="1">
      <alignment wrapText="1"/>
    </xf>
    <xf numFmtId="0" fontId="5" fillId="0" borderId="6" xfId="0" applyFont="1" applyFill="1" applyBorder="1" applyAlignment="1">
      <alignment wrapText="1"/>
    </xf>
    <xf numFmtId="0" fontId="0" fillId="0" borderId="9" xfId="0" applyFill="1" applyBorder="1"/>
    <xf numFmtId="0" fontId="0" fillId="0" borderId="22" xfId="0" applyFill="1" applyBorder="1"/>
    <xf numFmtId="0" fontId="0" fillId="0" borderId="10" xfId="0" applyFill="1" applyBorder="1"/>
    <xf numFmtId="0" fontId="0" fillId="8" borderId="23" xfId="0" applyFill="1" applyBorder="1"/>
    <xf numFmtId="0" fontId="0" fillId="8" borderId="24" xfId="0" applyFill="1" applyBorder="1"/>
    <xf numFmtId="0" fontId="0" fillId="8" borderId="12" xfId="0" applyFill="1" applyBorder="1"/>
    <xf numFmtId="166" fontId="22" fillId="0" borderId="0" xfId="17" applyNumberFormat="1" applyFont="1" applyBorder="1" applyAlignment="1">
      <alignment horizontal="left" vertical="top" wrapText="1"/>
    </xf>
    <xf numFmtId="0" fontId="0" fillId="0" borderId="1" xfId="0" applyBorder="1"/>
    <xf numFmtId="0" fontId="7" fillId="0" borderId="1" xfId="0" applyFont="1" applyBorder="1"/>
    <xf numFmtId="0" fontId="0" fillId="0" borderId="23" xfId="0" applyBorder="1"/>
    <xf numFmtId="0" fontId="22" fillId="0" borderId="45" xfId="17" applyFont="1" applyFill="1" applyBorder="1" applyAlignment="1">
      <alignment horizontal="left"/>
    </xf>
    <xf numFmtId="0" fontId="22" fillId="0" borderId="51" xfId="17" applyFont="1" applyFill="1" applyBorder="1" applyAlignment="1">
      <alignment horizontal="left"/>
    </xf>
    <xf numFmtId="0" fontId="22" fillId="0" borderId="53" xfId="17" applyFont="1" applyFill="1" applyBorder="1" applyAlignment="1">
      <alignment horizontal="left"/>
    </xf>
    <xf numFmtId="0" fontId="74" fillId="0" borderId="0" xfId="11" applyFont="1"/>
    <xf numFmtId="0" fontId="61" fillId="0" borderId="0" xfId="11" applyFont="1"/>
    <xf numFmtId="0" fontId="61" fillId="0" borderId="0" xfId="11" applyFont="1" applyAlignment="1"/>
    <xf numFmtId="49" fontId="61" fillId="0" borderId="9" xfId="11" applyNumberFormat="1" applyFont="1" applyBorder="1" applyAlignment="1">
      <alignment horizontal="center" vertical="center"/>
    </xf>
    <xf numFmtId="0" fontId="61" fillId="0" borderId="8" xfId="11" applyFont="1" applyBorder="1" applyAlignment="1">
      <alignment horizontal="left" vertical="top" wrapText="1"/>
    </xf>
    <xf numFmtId="49" fontId="61" fillId="0" borderId="22" xfId="11" applyNumberFormat="1" applyFont="1" applyBorder="1" applyAlignment="1">
      <alignment horizontal="center" vertical="center"/>
    </xf>
    <xf numFmtId="0" fontId="5" fillId="0" borderId="0" xfId="11" applyBorder="1"/>
    <xf numFmtId="49" fontId="61" fillId="0" borderId="1" xfId="11" applyNumberFormat="1" applyFont="1" applyBorder="1" applyAlignment="1">
      <alignment horizontal="center" vertical="center"/>
    </xf>
    <xf numFmtId="0" fontId="61" fillId="0" borderId="3" xfId="11" applyFont="1" applyBorder="1" applyAlignment="1">
      <alignment horizontal="left" vertical="top" wrapText="1"/>
    </xf>
    <xf numFmtId="0" fontId="61" fillId="0" borderId="0" xfId="11" applyFont="1" applyBorder="1" applyAlignment="1">
      <alignment vertical="top"/>
    </xf>
    <xf numFmtId="0" fontId="28" fillId="0" borderId="0" xfId="11" applyFont="1" applyBorder="1" applyAlignment="1">
      <alignment horizontal="right" vertical="center"/>
    </xf>
    <xf numFmtId="0" fontId="61" fillId="0" borderId="0" xfId="11" applyFont="1" applyBorder="1" applyAlignment="1">
      <alignment vertical="center"/>
    </xf>
    <xf numFmtId="0" fontId="61" fillId="0" borderId="0" xfId="11" applyFont="1" applyBorder="1"/>
    <xf numFmtId="0" fontId="61" fillId="0" borderId="0" xfId="11" applyFont="1" applyBorder="1" applyAlignment="1">
      <alignment horizontal="left"/>
    </xf>
    <xf numFmtId="0" fontId="67" fillId="0" borderId="0" xfId="11" applyFont="1" applyBorder="1" applyAlignment="1">
      <alignment horizontal="left"/>
    </xf>
    <xf numFmtId="0" fontId="61" fillId="0" borderId="0" xfId="11" applyFont="1" applyBorder="1" applyAlignment="1"/>
    <xf numFmtId="0" fontId="61" fillId="0" borderId="3" xfId="11" applyFont="1" applyBorder="1" applyAlignment="1"/>
    <xf numFmtId="0" fontId="5" fillId="0" borderId="2" xfId="11" applyBorder="1"/>
    <xf numFmtId="0" fontId="61" fillId="0" borderId="1" xfId="11" applyFont="1" applyBorder="1"/>
    <xf numFmtId="0" fontId="67" fillId="0" borderId="0" xfId="11" applyFont="1" applyBorder="1" applyAlignment="1">
      <alignment horizontal="right" vertical="center"/>
    </xf>
    <xf numFmtId="0" fontId="61" fillId="0" borderId="0" xfId="11" applyFont="1" applyBorder="1" applyAlignment="1">
      <alignment vertical="center" wrapText="1"/>
    </xf>
    <xf numFmtId="0" fontId="27" fillId="0" borderId="0" xfId="11" applyFont="1" applyBorder="1" applyAlignment="1">
      <alignment vertical="center" wrapText="1"/>
    </xf>
    <xf numFmtId="0" fontId="5" fillId="0" borderId="24" xfId="11" applyBorder="1"/>
    <xf numFmtId="0" fontId="67" fillId="0" borderId="24" xfId="11" applyFont="1" applyBorder="1" applyAlignment="1">
      <alignment horizontal="right" vertical="center"/>
    </xf>
    <xf numFmtId="0" fontId="61" fillId="0" borderId="24" xfId="11" applyFont="1" applyBorder="1" applyAlignment="1">
      <alignment vertical="center"/>
    </xf>
    <xf numFmtId="0" fontId="61" fillId="0" borderId="24" xfId="11" applyFont="1" applyBorder="1"/>
    <xf numFmtId="0" fontId="61" fillId="0" borderId="24" xfId="11" applyFont="1" applyBorder="1" applyAlignment="1"/>
    <xf numFmtId="0" fontId="5" fillId="0" borderId="12" xfId="11" applyBorder="1"/>
    <xf numFmtId="0" fontId="61" fillId="0" borderId="0" xfId="11" applyFont="1" applyBorder="1" applyAlignment="1">
      <alignment horizontal="left" vertical="center"/>
    </xf>
    <xf numFmtId="0" fontId="61" fillId="0" borderId="23" xfId="11" applyFont="1" applyBorder="1"/>
    <xf numFmtId="49" fontId="61" fillId="0" borderId="0" xfId="11" applyNumberFormat="1" applyFont="1" applyBorder="1" applyAlignment="1">
      <alignment horizontal="center" vertical="center"/>
    </xf>
    <xf numFmtId="0" fontId="61" fillId="0" borderId="2" xfId="11" applyFont="1" applyBorder="1" applyAlignment="1"/>
    <xf numFmtId="0" fontId="67" fillId="0" borderId="0" xfId="11" applyFont="1" applyBorder="1" applyAlignment="1">
      <alignment horizontal="left" vertical="center"/>
    </xf>
    <xf numFmtId="0" fontId="5" fillId="0" borderId="24" xfId="11" applyBorder="1" applyAlignment="1">
      <alignment horizontal="right"/>
    </xf>
    <xf numFmtId="0" fontId="61" fillId="0" borderId="12" xfId="11" applyFont="1" applyBorder="1" applyAlignment="1"/>
    <xf numFmtId="49" fontId="61" fillId="0" borderId="23" xfId="11" applyNumberFormat="1" applyFont="1" applyBorder="1" applyAlignment="1">
      <alignment horizontal="center" vertical="center"/>
    </xf>
    <xf numFmtId="0" fontId="67" fillId="0" borderId="24" xfId="11" applyFont="1" applyBorder="1" applyAlignment="1">
      <alignment horizontal="left" vertical="center"/>
    </xf>
    <xf numFmtId="0" fontId="22" fillId="0" borderId="0" xfId="11" applyFont="1" applyBorder="1" applyAlignment="1">
      <alignment horizontal="right"/>
    </xf>
    <xf numFmtId="0" fontId="22" fillId="0" borderId="0" xfId="11" applyFont="1" applyFill="1" applyBorder="1" applyAlignment="1">
      <alignment horizontal="right"/>
    </xf>
    <xf numFmtId="0" fontId="61" fillId="0" borderId="1" xfId="11" applyFont="1" applyBorder="1" applyAlignment="1">
      <alignment horizontal="left" vertical="top" wrapText="1"/>
    </xf>
    <xf numFmtId="0" fontId="61" fillId="0" borderId="1" xfId="11" applyFont="1" applyBorder="1" applyAlignment="1"/>
    <xf numFmtId="0" fontId="61" fillId="0" borderId="23" xfId="11" applyFont="1" applyBorder="1" applyAlignment="1"/>
    <xf numFmtId="0" fontId="5" fillId="0" borderId="23" xfId="11" applyBorder="1"/>
    <xf numFmtId="0" fontId="14" fillId="0" borderId="0" xfId="11" applyFont="1" applyAlignment="1">
      <alignment horizontal="center"/>
    </xf>
    <xf numFmtId="0" fontId="7" fillId="0" borderId="0" xfId="11" applyFont="1" applyAlignment="1"/>
    <xf numFmtId="0" fontId="14" fillId="0" borderId="0" xfId="11" applyFont="1" applyAlignment="1">
      <alignment horizontal="right" vertical="center"/>
    </xf>
    <xf numFmtId="0" fontId="7" fillId="0" borderId="0" xfId="11" applyFont="1" applyAlignment="1">
      <alignment horizontal="right" vertical="center"/>
    </xf>
    <xf numFmtId="0" fontId="16" fillId="0" borderId="0" xfId="11" applyFont="1" applyAlignment="1">
      <alignment horizontal="right"/>
    </xf>
    <xf numFmtId="0" fontId="14" fillId="0" borderId="0" xfId="11" applyFont="1" applyAlignment="1"/>
    <xf numFmtId="0" fontId="7" fillId="0" borderId="0" xfId="11" applyFont="1"/>
    <xf numFmtId="0" fontId="6" fillId="0" borderId="0" xfId="11" applyFont="1" applyAlignment="1">
      <alignment vertical="center"/>
    </xf>
    <xf numFmtId="0" fontId="18" fillId="0" borderId="77" xfId="11" applyFont="1" applyBorder="1" applyAlignment="1">
      <alignment horizontal="center" vertical="center"/>
    </xf>
    <xf numFmtId="0" fontId="11" fillId="0" borderId="0" xfId="11" applyFont="1" applyAlignment="1">
      <alignment vertical="center"/>
    </xf>
    <xf numFmtId="0" fontId="18" fillId="0" borderId="0" xfId="11" applyFont="1" applyAlignment="1">
      <alignment vertical="center"/>
    </xf>
    <xf numFmtId="1" fontId="7" fillId="0" borderId="0" xfId="6" applyNumberFormat="1" applyFont="1" applyFill="1" applyBorder="1" applyAlignment="1">
      <alignment horizontal="left" vertical="center"/>
    </xf>
    <xf numFmtId="0" fontId="11" fillId="0" borderId="0" xfId="11" applyFont="1" applyAlignment="1">
      <alignment horizontal="center" vertical="center"/>
    </xf>
    <xf numFmtId="0" fontId="14" fillId="0" borderId="0" xfId="11" applyFont="1" applyAlignment="1">
      <alignment vertical="center"/>
    </xf>
    <xf numFmtId="0" fontId="6" fillId="0" borderId="0" xfId="11" applyFont="1" applyAlignment="1">
      <alignment horizontal="center"/>
    </xf>
    <xf numFmtId="0" fontId="14" fillId="0" borderId="0" xfId="11" applyFont="1" applyAlignment="1">
      <alignment horizontal="center" vertical="center"/>
    </xf>
    <xf numFmtId="0" fontId="7" fillId="0" borderId="0" xfId="11" applyFont="1" applyAlignment="1">
      <alignment vertical="center"/>
    </xf>
    <xf numFmtId="1" fontId="18" fillId="0" borderId="0" xfId="6" applyNumberFormat="1" applyFont="1" applyFill="1" applyBorder="1" applyAlignment="1">
      <alignment horizontal="left" vertical="center"/>
    </xf>
    <xf numFmtId="0" fontId="18" fillId="0" borderId="0" xfId="11" applyFont="1" applyAlignment="1"/>
    <xf numFmtId="0" fontId="11" fillId="0" borderId="0" xfId="11" applyFont="1" applyAlignment="1">
      <alignment horizontal="center"/>
    </xf>
    <xf numFmtId="0" fontId="2" fillId="0" borderId="0" xfId="11" applyFont="1" applyAlignment="1"/>
    <xf numFmtId="0" fontId="5" fillId="0" borderId="0" xfId="11" applyFont="1" applyAlignment="1"/>
    <xf numFmtId="0" fontId="2" fillId="0" borderId="0" xfId="11" applyFont="1" applyAlignment="1">
      <alignment horizontal="right" vertical="center"/>
    </xf>
    <xf numFmtId="0" fontId="2" fillId="0" borderId="0" xfId="11" applyFont="1" applyAlignment="1">
      <alignment horizontal="center"/>
    </xf>
    <xf numFmtId="0" fontId="2" fillId="0" borderId="0" xfId="11" applyFont="1" applyAlignment="1">
      <alignment horizontal="center" vertical="center"/>
    </xf>
    <xf numFmtId="0" fontId="3" fillId="0" borderId="0" xfId="11" applyFont="1" applyAlignment="1">
      <alignment horizontal="center"/>
    </xf>
    <xf numFmtId="0" fontId="10" fillId="0" borderId="78" xfId="17" applyFont="1" applyBorder="1" applyAlignment="1">
      <alignment vertical="center"/>
    </xf>
    <xf numFmtId="0" fontId="10" fillId="0" borderId="10" xfId="17" applyFont="1" applyBorder="1" applyAlignment="1">
      <alignment vertical="center"/>
    </xf>
    <xf numFmtId="0" fontId="10" fillId="0" borderId="8" xfId="17" applyFont="1" applyBorder="1" applyAlignment="1">
      <alignment vertical="center"/>
    </xf>
    <xf numFmtId="0" fontId="10" fillId="0" borderId="22" xfId="17" applyFont="1" applyBorder="1" applyAlignment="1">
      <alignment horizontal="center" vertical="center"/>
    </xf>
    <xf numFmtId="0" fontId="10" fillId="0" borderId="79" xfId="17" applyFont="1" applyBorder="1" applyAlignment="1">
      <alignment horizontal="center" vertical="center"/>
    </xf>
    <xf numFmtId="0" fontId="18" fillId="7" borderId="3" xfId="0" applyFont="1" applyFill="1" applyBorder="1" applyAlignment="1">
      <alignment horizontal="left" vertical="top"/>
    </xf>
    <xf numFmtId="0" fontId="13" fillId="0" borderId="4" xfId="10" applyFont="1" applyFill="1" applyBorder="1"/>
    <xf numFmtId="0" fontId="13" fillId="0" borderId="4" xfId="10" applyFont="1" applyFill="1" applyBorder="1" applyAlignment="1">
      <alignment horizontal="center"/>
    </xf>
    <xf numFmtId="0" fontId="12" fillId="0" borderId="4" xfId="10" applyFont="1" applyFill="1" applyBorder="1" applyAlignment="1">
      <alignment horizontal="center" vertical="top" wrapText="1"/>
    </xf>
    <xf numFmtId="0" fontId="12" fillId="0" borderId="4" xfId="0" applyFont="1" applyBorder="1" applyAlignment="1">
      <alignment horizontal="center" vertical="top"/>
    </xf>
    <xf numFmtId="0" fontId="10" fillId="0" borderId="6" xfId="10" applyFont="1" applyFill="1" applyBorder="1" applyAlignment="1">
      <alignment wrapText="1"/>
    </xf>
    <xf numFmtId="0" fontId="10" fillId="0" borderId="23" xfId="10" applyFont="1" applyFill="1" applyBorder="1" applyAlignment="1">
      <alignment wrapText="1"/>
    </xf>
    <xf numFmtId="166" fontId="18" fillId="2" borderId="4" xfId="17" applyNumberFormat="1" applyFont="1" applyFill="1" applyBorder="1" applyAlignment="1">
      <alignment wrapText="1"/>
    </xf>
    <xf numFmtId="166" fontId="18" fillId="2" borderId="36" xfId="17" applyNumberFormat="1" applyFont="1" applyFill="1" applyBorder="1" applyAlignment="1">
      <alignment wrapText="1"/>
    </xf>
    <xf numFmtId="0" fontId="8" fillId="0" borderId="36" xfId="10" applyFont="1" applyFill="1" applyBorder="1"/>
    <xf numFmtId="0" fontId="4" fillId="0" borderId="37" xfId="10" applyFont="1" applyFill="1" applyBorder="1"/>
    <xf numFmtId="0" fontId="10" fillId="0" borderId="6" xfId="17" applyFont="1" applyFill="1" applyBorder="1" applyAlignment="1">
      <alignment horizontal="left" wrapText="1"/>
    </xf>
    <xf numFmtId="0" fontId="10" fillId="0" borderId="3" xfId="17" applyFont="1" applyFill="1" applyBorder="1" applyAlignment="1">
      <alignment horizontal="left" wrapText="1"/>
    </xf>
    <xf numFmtId="0" fontId="19" fillId="0" borderId="3" xfId="0" applyFont="1" applyFill="1" applyBorder="1" applyAlignment="1">
      <alignment wrapText="1"/>
    </xf>
    <xf numFmtId="0" fontId="13" fillId="0" borderId="3" xfId="0" applyFont="1" applyFill="1" applyBorder="1" applyAlignment="1">
      <alignment wrapText="1"/>
    </xf>
    <xf numFmtId="0" fontId="22" fillId="0" borderId="38" xfId="17" applyNumberFormat="1" applyFont="1" applyFill="1" applyBorder="1" applyAlignment="1">
      <alignment wrapText="1"/>
    </xf>
    <xf numFmtId="0" fontId="22" fillId="0" borderId="10" xfId="17" applyNumberFormat="1" applyFont="1" applyFill="1" applyBorder="1" applyAlignment="1">
      <alignment wrapText="1"/>
    </xf>
    <xf numFmtId="0" fontId="22" fillId="0" borderId="8" xfId="17" applyNumberFormat="1" applyFont="1" applyFill="1" applyBorder="1" applyAlignment="1">
      <alignment wrapText="1"/>
    </xf>
    <xf numFmtId="0" fontId="22" fillId="0" borderId="35" xfId="17" applyNumberFormat="1" applyFont="1" applyFill="1" applyBorder="1" applyAlignment="1">
      <alignment wrapText="1"/>
    </xf>
    <xf numFmtId="0" fontId="58" fillId="0" borderId="3" xfId="0" applyFont="1" applyBorder="1" applyAlignment="1">
      <alignment horizontal="left" vertical="top" wrapText="1"/>
    </xf>
    <xf numFmtId="0" fontId="58" fillId="0" borderId="3" xfId="0" applyFont="1" applyBorder="1" applyAlignment="1">
      <alignment vertical="top" wrapText="1"/>
    </xf>
    <xf numFmtId="0" fontId="58" fillId="2" borderId="3" xfId="17" applyFont="1" applyFill="1" applyBorder="1" applyAlignment="1">
      <alignment horizontal="left" vertical="top" wrapText="1"/>
    </xf>
    <xf numFmtId="0" fontId="57" fillId="0" borderId="44" xfId="17" applyFont="1" applyFill="1" applyBorder="1" applyAlignment="1">
      <alignment wrapText="1"/>
    </xf>
    <xf numFmtId="0" fontId="56" fillId="0" borderId="46" xfId="0" applyFont="1" applyFill="1" applyBorder="1" applyAlignment="1">
      <alignment wrapText="1"/>
    </xf>
    <xf numFmtId="0" fontId="56" fillId="0" borderId="45" xfId="0" applyFont="1" applyFill="1" applyBorder="1" applyAlignment="1">
      <alignment wrapText="1"/>
    </xf>
    <xf numFmtId="0" fontId="18" fillId="0" borderId="12" xfId="17" applyFont="1" applyFill="1" applyBorder="1" applyAlignment="1">
      <alignment vertical="center" wrapText="1"/>
    </xf>
    <xf numFmtId="0" fontId="18" fillId="0" borderId="2" xfId="17" applyFont="1" applyFill="1" applyBorder="1" applyAlignment="1">
      <alignment vertical="center" wrapText="1"/>
    </xf>
    <xf numFmtId="0" fontId="57" fillId="0" borderId="24" xfId="17" applyFont="1" applyFill="1" applyBorder="1" applyAlignment="1">
      <alignment wrapText="1"/>
    </xf>
    <xf numFmtId="0" fontId="57" fillId="0" borderId="12" xfId="17" applyFont="1" applyFill="1" applyBorder="1" applyAlignment="1">
      <alignment wrapText="1"/>
    </xf>
    <xf numFmtId="0" fontId="57" fillId="0" borderId="46" xfId="17" applyFont="1" applyFill="1" applyBorder="1" applyAlignment="1">
      <alignment wrapText="1"/>
    </xf>
    <xf numFmtId="0" fontId="57" fillId="0" borderId="45" xfId="17" applyFont="1" applyFill="1" applyBorder="1" applyAlignment="1">
      <alignment wrapText="1"/>
    </xf>
    <xf numFmtId="0" fontId="56" fillId="0" borderId="23" xfId="0" applyFont="1" applyBorder="1"/>
    <xf numFmtId="0" fontId="56" fillId="0" borderId="24" xfId="0" applyFont="1" applyBorder="1"/>
    <xf numFmtId="0" fontId="56" fillId="0" borderId="12" xfId="0" applyFont="1" applyBorder="1"/>
    <xf numFmtId="0" fontId="56" fillId="0" borderId="37" xfId="0" applyFont="1" applyBorder="1"/>
    <xf numFmtId="0" fontId="56" fillId="0" borderId="36" xfId="0" applyFont="1" applyBorder="1"/>
    <xf numFmtId="0" fontId="56" fillId="0" borderId="5" xfId="0" applyFont="1" applyBorder="1"/>
    <xf numFmtId="0" fontId="58" fillId="0" borderId="3" xfId="0" applyFont="1" applyFill="1" applyBorder="1" applyAlignment="1">
      <alignment vertical="top" wrapText="1"/>
    </xf>
    <xf numFmtId="0" fontId="22" fillId="0" borderId="8" xfId="17" applyFont="1" applyFill="1" applyBorder="1" applyAlignment="1">
      <alignment horizontal="center" vertical="center"/>
    </xf>
    <xf numFmtId="166" fontId="18" fillId="7" borderId="22" xfId="17" applyNumberFormat="1" applyFont="1" applyFill="1" applyBorder="1" applyAlignment="1">
      <alignment horizontal="left" vertical="top"/>
    </xf>
    <xf numFmtId="0" fontId="18" fillId="0" borderId="24" xfId="17" applyFont="1" applyFill="1" applyBorder="1"/>
    <xf numFmtId="0" fontId="22" fillId="0" borderId="22" xfId="17" applyFont="1" applyFill="1" applyBorder="1" applyAlignment="1">
      <alignment horizontal="right"/>
    </xf>
    <xf numFmtId="0" fontId="19" fillId="0" borderId="0" xfId="0" applyFont="1" applyBorder="1"/>
    <xf numFmtId="0" fontId="18" fillId="0" borderId="8" xfId="0" applyFont="1" applyBorder="1" applyAlignment="1"/>
    <xf numFmtId="0" fontId="18" fillId="7" borderId="3" xfId="0" applyFont="1" applyFill="1" applyBorder="1" applyAlignment="1">
      <alignment vertical="top"/>
    </xf>
    <xf numFmtId="0" fontId="10" fillId="7" borderId="0" xfId="0" applyFont="1" applyFill="1"/>
    <xf numFmtId="0" fontId="19" fillId="7" borderId="2" xfId="0" applyFont="1" applyFill="1" applyBorder="1" applyAlignment="1">
      <alignment horizontal="center"/>
    </xf>
    <xf numFmtId="0" fontId="58" fillId="0" borderId="0" xfId="11" applyFont="1" applyBorder="1" applyAlignment="1"/>
    <xf numFmtId="0" fontId="2" fillId="0" borderId="3" xfId="17" applyFont="1" applyFill="1" applyBorder="1"/>
    <xf numFmtId="0" fontId="22" fillId="0" borderId="80" xfId="17" applyFont="1" applyFill="1" applyBorder="1" applyAlignment="1">
      <alignment vertical="center"/>
    </xf>
    <xf numFmtId="0" fontId="18" fillId="0" borderId="0" xfId="17" quotePrefix="1" applyFont="1" applyFill="1" applyBorder="1" applyAlignment="1">
      <alignment horizontal="center"/>
    </xf>
    <xf numFmtId="0" fontId="18" fillId="0" borderId="0" xfId="11" applyFont="1" applyFill="1" applyBorder="1" applyAlignment="1">
      <alignment horizontal="left"/>
    </xf>
    <xf numFmtId="0" fontId="19" fillId="0" borderId="4" xfId="17" applyFont="1" applyFill="1" applyBorder="1" applyAlignment="1">
      <alignment horizontal="center"/>
    </xf>
    <xf numFmtId="0" fontId="19" fillId="0" borderId="4" xfId="0" applyFont="1" applyBorder="1" applyAlignment="1">
      <alignment horizontal="center"/>
    </xf>
    <xf numFmtId="0" fontId="19" fillId="0" borderId="4" xfId="0" applyFont="1" applyFill="1" applyBorder="1" applyAlignment="1">
      <alignment horizontal="center"/>
    </xf>
    <xf numFmtId="0" fontId="18" fillId="0" borderId="36" xfId="0" applyFont="1" applyFill="1" applyBorder="1" applyAlignment="1">
      <alignment horizontal="left"/>
    </xf>
    <xf numFmtId="0" fontId="18" fillId="0" borderId="5" xfId="17" applyFont="1" applyFill="1" applyBorder="1" applyAlignment="1">
      <alignment vertical="top" wrapText="1"/>
    </xf>
    <xf numFmtId="0" fontId="58" fillId="0" borderId="68" xfId="0" applyFont="1" applyBorder="1" applyAlignment="1">
      <alignment vertical="center" wrapText="1"/>
    </xf>
    <xf numFmtId="0" fontId="72" fillId="0" borderId="4" xfId="10" applyFont="1" applyFill="1" applyBorder="1" applyAlignment="1">
      <alignment horizontal="center"/>
    </xf>
    <xf numFmtId="0" fontId="72" fillId="0" borderId="4" xfId="10" applyFont="1" applyFill="1" applyBorder="1"/>
    <xf numFmtId="0" fontId="18" fillId="0" borderId="21" xfId="10" applyFont="1" applyFill="1" applyBorder="1" applyAlignment="1">
      <alignment horizontal="left" vertical="center"/>
    </xf>
    <xf numFmtId="0" fontId="18" fillId="0" borderId="23" xfId="10" applyFont="1" applyFill="1" applyBorder="1" applyAlignment="1">
      <alignment horizontal="left" vertical="center"/>
    </xf>
    <xf numFmtId="0" fontId="4" fillId="0" borderId="4" xfId="0" quotePrefix="1" applyFont="1" applyBorder="1" applyAlignment="1">
      <alignment horizontal="center" vertical="center"/>
    </xf>
    <xf numFmtId="0" fontId="18" fillId="0" borderId="5" xfId="0" applyFont="1" applyBorder="1" applyAlignment="1">
      <alignment horizontal="center"/>
    </xf>
    <xf numFmtId="0" fontId="0" fillId="0" borderId="5" xfId="0" applyBorder="1"/>
    <xf numFmtId="0" fontId="18" fillId="0" borderId="0" xfId="17" applyFont="1" applyFill="1" applyAlignment="1">
      <alignment horizontal="left" vertical="center" wrapText="1"/>
    </xf>
    <xf numFmtId="166" fontId="22" fillId="0" borderId="0" xfId="17" applyNumberFormat="1" applyFont="1" applyFill="1" applyBorder="1" applyAlignment="1">
      <alignment horizontal="center" vertical="top" wrapText="1"/>
    </xf>
    <xf numFmtId="0" fontId="67" fillId="0" borderId="0" xfId="0" applyFont="1"/>
    <xf numFmtId="0" fontId="61" fillId="0" borderId="0" xfId="0" applyFont="1"/>
    <xf numFmtId="0" fontId="61" fillId="0" borderId="22" xfId="0" applyFont="1" applyBorder="1"/>
    <xf numFmtId="0" fontId="61" fillId="0" borderId="10" xfId="0" applyFont="1" applyBorder="1"/>
    <xf numFmtId="0" fontId="61" fillId="0" borderId="1" xfId="0" applyFont="1" applyBorder="1"/>
    <xf numFmtId="0" fontId="61" fillId="0" borderId="0" xfId="0" applyFont="1" applyBorder="1"/>
    <xf numFmtId="0" fontId="61" fillId="0" borderId="2" xfId="0" applyFont="1" applyBorder="1"/>
    <xf numFmtId="0" fontId="61" fillId="0" borderId="23" xfId="0" applyFont="1" applyBorder="1"/>
    <xf numFmtId="0" fontId="61" fillId="0" borderId="24" xfId="0" applyFont="1" applyBorder="1"/>
    <xf numFmtId="0" fontId="61" fillId="0" borderId="12" xfId="0" applyFont="1" applyBorder="1"/>
    <xf numFmtId="0" fontId="61" fillId="0" borderId="37" xfId="0" applyFont="1" applyBorder="1"/>
    <xf numFmtId="0" fontId="61" fillId="0" borderId="36" xfId="0" applyFont="1" applyBorder="1"/>
    <xf numFmtId="0" fontId="61" fillId="0" borderId="5" xfId="0" applyFont="1" applyBorder="1"/>
    <xf numFmtId="0" fontId="61" fillId="0" borderId="1" xfId="0" applyFont="1" applyBorder="1" applyAlignment="1"/>
    <xf numFmtId="0" fontId="61" fillId="0" borderId="0" xfId="0" applyFont="1" applyAlignment="1"/>
    <xf numFmtId="0" fontId="61" fillId="0" borderId="37" xfId="0" applyFont="1" applyBorder="1" applyAlignment="1"/>
    <xf numFmtId="0" fontId="61" fillId="0" borderId="36" xfId="0" applyFont="1" applyBorder="1" applyAlignment="1"/>
    <xf numFmtId="0" fontId="61" fillId="0" borderId="0" xfId="0" applyFont="1" applyAlignment="1">
      <alignment wrapText="1"/>
    </xf>
    <xf numFmtId="0" fontId="61" fillId="0" borderId="9" xfId="0" applyFont="1" applyBorder="1"/>
    <xf numFmtId="0" fontId="61" fillId="0" borderId="5" xfId="0" applyFont="1" applyBorder="1" applyAlignment="1"/>
    <xf numFmtId="0" fontId="5" fillId="0" borderId="45" xfId="0" applyFont="1" applyFill="1" applyBorder="1" applyAlignment="1">
      <alignment wrapText="1"/>
    </xf>
    <xf numFmtId="0" fontId="56" fillId="0" borderId="6" xfId="0" applyFont="1" applyFill="1" applyBorder="1" applyAlignment="1">
      <alignment wrapText="1"/>
    </xf>
    <xf numFmtId="0" fontId="56" fillId="0" borderId="4" xfId="0" applyFont="1" applyFill="1" applyBorder="1" applyAlignment="1">
      <alignment wrapText="1"/>
    </xf>
    <xf numFmtId="0" fontId="56" fillId="0" borderId="8" xfId="0" applyFont="1" applyFill="1" applyBorder="1" applyAlignment="1">
      <alignment wrapText="1"/>
    </xf>
    <xf numFmtId="0" fontId="56" fillId="0" borderId="18" xfId="0" applyFont="1" applyFill="1" applyBorder="1" applyAlignment="1">
      <alignment wrapText="1"/>
    </xf>
    <xf numFmtId="0" fontId="57" fillId="0" borderId="18" xfId="17" applyFont="1" applyFill="1" applyBorder="1" applyAlignment="1">
      <alignment wrapText="1"/>
    </xf>
    <xf numFmtId="0" fontId="56" fillId="0" borderId="6" xfId="0" applyFont="1" applyBorder="1"/>
    <xf numFmtId="0" fontId="18" fillId="7" borderId="3" xfId="0" quotePrefix="1" applyFont="1" applyFill="1" applyBorder="1" applyAlignment="1">
      <alignment horizontal="left" vertical="center" wrapText="1"/>
    </xf>
    <xf numFmtId="0" fontId="18" fillId="0" borderId="11" xfId="17" applyFont="1" applyFill="1" applyBorder="1" applyAlignment="1"/>
    <xf numFmtId="166" fontId="22" fillId="0" borderId="38" xfId="17" applyNumberFormat="1" applyFont="1" applyFill="1" applyBorder="1" applyAlignment="1">
      <alignment horizontal="left" wrapText="1"/>
    </xf>
    <xf numFmtId="0" fontId="7" fillId="0" borderId="20" xfId="17" applyFont="1" applyFill="1" applyBorder="1"/>
    <xf numFmtId="0" fontId="18" fillId="0" borderId="20" xfId="0" applyFont="1" applyFill="1" applyBorder="1" applyAlignment="1">
      <alignment horizontal="right"/>
    </xf>
    <xf numFmtId="0" fontId="18" fillId="0" borderId="20" xfId="17" applyFont="1" applyFill="1" applyBorder="1"/>
    <xf numFmtId="0" fontId="18" fillId="0" borderId="40" xfId="17" applyFont="1" applyFill="1" applyBorder="1" applyAlignment="1"/>
    <xf numFmtId="0" fontId="18" fillId="0" borderId="38" xfId="17" applyFont="1" applyFill="1" applyBorder="1" applyAlignment="1"/>
    <xf numFmtId="0" fontId="18" fillId="0" borderId="41" xfId="17" applyFont="1" applyFill="1" applyBorder="1" applyAlignment="1"/>
    <xf numFmtId="0" fontId="18" fillId="0" borderId="50" xfId="17" applyFont="1" applyFill="1" applyBorder="1" applyAlignment="1"/>
    <xf numFmtId="0" fontId="7" fillId="0" borderId="3" xfId="17" applyFont="1" applyFill="1" applyBorder="1"/>
    <xf numFmtId="0" fontId="22" fillId="0" borderId="1" xfId="17" applyFont="1" applyFill="1" applyBorder="1" applyAlignment="1">
      <alignment vertical="center" wrapText="1"/>
    </xf>
    <xf numFmtId="0" fontId="22" fillId="0" borderId="20" xfId="17" applyFont="1" applyFill="1" applyBorder="1" applyAlignment="1">
      <alignment vertical="center" wrapText="1"/>
    </xf>
    <xf numFmtId="0" fontId="22" fillId="0" borderId="21" xfId="17" applyFont="1" applyFill="1" applyBorder="1" applyAlignment="1">
      <alignment vertical="center" wrapText="1"/>
    </xf>
    <xf numFmtId="0" fontId="18" fillId="0" borderId="22" xfId="0" applyFont="1" applyBorder="1"/>
    <xf numFmtId="0" fontId="18" fillId="0" borderId="12" xfId="0" applyFont="1" applyBorder="1"/>
    <xf numFmtId="0" fontId="22" fillId="0" borderId="0" xfId="17" applyFont="1" applyFill="1" applyBorder="1" applyAlignment="1">
      <alignment vertical="center" wrapText="1"/>
    </xf>
    <xf numFmtId="0" fontId="18" fillId="7" borderId="0" xfId="0" applyFont="1" applyFill="1" applyBorder="1" applyAlignment="1">
      <alignment horizontal="left"/>
    </xf>
    <xf numFmtId="0" fontId="18" fillId="7" borderId="3" xfId="0" applyFont="1" applyFill="1" applyBorder="1" applyAlignment="1">
      <alignment horizontal="left"/>
    </xf>
    <xf numFmtId="0" fontId="18" fillId="7" borderId="6" xfId="0" applyFont="1" applyFill="1" applyBorder="1" applyAlignment="1">
      <alignment horizontal="left"/>
    </xf>
    <xf numFmtId="0" fontId="18" fillId="7" borderId="22" xfId="0" applyFont="1" applyFill="1" applyBorder="1" applyAlignment="1">
      <alignment vertical="top"/>
    </xf>
    <xf numFmtId="0" fontId="18" fillId="7" borderId="2" xfId="0" applyFont="1" applyFill="1" applyBorder="1" applyAlignment="1">
      <alignment vertical="top" wrapText="1"/>
    </xf>
    <xf numFmtId="0" fontId="61" fillId="0" borderId="0" xfId="0" applyFont="1" applyBorder="1" applyAlignment="1"/>
    <xf numFmtId="0" fontId="61" fillId="0" borderId="10" xfId="0" applyFont="1" applyBorder="1" applyAlignment="1">
      <alignment wrapText="1"/>
    </xf>
    <xf numFmtId="0" fontId="61" fillId="0" borderId="0" xfId="0" applyFont="1" applyBorder="1" applyAlignment="1">
      <alignment wrapText="1"/>
    </xf>
    <xf numFmtId="0" fontId="61" fillId="0" borderId="2" xfId="0" applyFont="1" applyBorder="1" applyAlignment="1">
      <alignment wrapText="1"/>
    </xf>
    <xf numFmtId="0" fontId="58" fillId="0" borderId="1" xfId="0" applyFont="1" applyBorder="1" applyAlignment="1">
      <alignment vertical="top" wrapText="1"/>
    </xf>
    <xf numFmtId="0" fontId="58" fillId="0" borderId="0" xfId="0" applyFont="1" applyBorder="1" applyAlignment="1">
      <alignment vertical="top" wrapText="1"/>
    </xf>
    <xf numFmtId="0" fontId="58" fillId="0" borderId="2" xfId="0" applyFont="1" applyBorder="1" applyAlignment="1">
      <alignment vertical="top" wrapText="1"/>
    </xf>
    <xf numFmtId="0" fontId="58" fillId="0" borderId="23" xfId="0" applyFont="1" applyBorder="1" applyAlignment="1">
      <alignment vertical="top" wrapText="1"/>
    </xf>
    <xf numFmtId="0" fontId="58" fillId="0" borderId="24" xfId="0" applyFont="1" applyBorder="1" applyAlignment="1">
      <alignment vertical="top" wrapText="1"/>
    </xf>
    <xf numFmtId="0" fontId="58" fillId="0" borderId="12" xfId="0" applyFont="1" applyBorder="1" applyAlignment="1">
      <alignment vertical="top" wrapText="1"/>
    </xf>
    <xf numFmtId="0" fontId="61" fillId="7" borderId="3" xfId="0" applyFont="1" applyFill="1" applyBorder="1" applyAlignment="1">
      <alignment horizontal="left" vertical="top" wrapText="1"/>
    </xf>
    <xf numFmtId="0" fontId="22" fillId="0" borderId="2" xfId="17" applyFont="1" applyFill="1" applyBorder="1" applyAlignment="1">
      <alignment horizontal="left" wrapText="1"/>
    </xf>
    <xf numFmtId="0" fontId="18" fillId="0" borderId="12" xfId="17" applyFont="1" applyFill="1" applyBorder="1" applyAlignment="1">
      <alignment horizontal="left" wrapText="1"/>
    </xf>
    <xf numFmtId="0" fontId="56" fillId="0" borderId="3" xfId="0" applyFont="1" applyBorder="1"/>
    <xf numFmtId="0" fontId="61" fillId="0" borderId="0" xfId="0" applyFont="1" applyBorder="1" applyAlignment="1">
      <alignment vertical="top"/>
    </xf>
    <xf numFmtId="0" fontId="61" fillId="0" borderId="0" xfId="0" applyFont="1" applyBorder="1" applyAlignment="1">
      <alignment horizontal="left"/>
    </xf>
    <xf numFmtId="0" fontId="61" fillId="0" borderId="0" xfId="0" applyFont="1" applyBorder="1" applyAlignment="1">
      <alignment horizontal="right"/>
    </xf>
    <xf numFmtId="0" fontId="58" fillId="0" borderId="0" xfId="0" applyFont="1" applyBorder="1" applyAlignment="1">
      <alignment horizontal="right"/>
    </xf>
    <xf numFmtId="0" fontId="61" fillId="0" borderId="22" xfId="0" applyFont="1" applyBorder="1" applyAlignment="1"/>
    <xf numFmtId="0" fontId="76" fillId="0" borderId="0" xfId="0" applyFont="1"/>
    <xf numFmtId="0" fontId="10" fillId="0" borderId="3" xfId="17" applyFont="1" applyFill="1" applyBorder="1" applyAlignment="1">
      <alignment horizontal="left"/>
    </xf>
    <xf numFmtId="0" fontId="18" fillId="0" borderId="2" xfId="0" applyFont="1" applyBorder="1" applyAlignment="1">
      <alignment wrapText="1"/>
    </xf>
    <xf numFmtId="0" fontId="18" fillId="0" borderId="2" xfId="0" applyFont="1" applyBorder="1" applyAlignment="1">
      <alignment horizontal="left" wrapText="1"/>
    </xf>
    <xf numFmtId="0" fontId="18" fillId="0" borderId="41" xfId="0" applyFont="1" applyBorder="1" applyAlignment="1">
      <alignment horizontal="left" vertical="center" wrapText="1"/>
    </xf>
    <xf numFmtId="0" fontId="22" fillId="0" borderId="0" xfId="11" applyFont="1" applyFill="1" applyBorder="1" applyAlignment="1">
      <alignment horizontal="right" vertical="top"/>
    </xf>
    <xf numFmtId="0" fontId="61" fillId="0" borderId="0" xfId="11" applyFont="1" applyBorder="1" applyAlignment="1">
      <alignment horizontal="left" vertical="top"/>
    </xf>
    <xf numFmtId="0" fontId="18" fillId="0" borderId="1" xfId="11" applyFont="1" applyBorder="1" applyAlignment="1"/>
    <xf numFmtId="0" fontId="18" fillId="0" borderId="24" xfId="11" applyFont="1" applyBorder="1" applyAlignment="1"/>
    <xf numFmtId="0" fontId="22" fillId="0" borderId="24" xfId="17" applyFont="1" applyFill="1" applyBorder="1" applyAlignment="1"/>
    <xf numFmtId="0" fontId="58" fillId="0" borderId="1" xfId="0" applyFont="1" applyBorder="1" applyAlignment="1">
      <alignment vertical="top"/>
    </xf>
    <xf numFmtId="0" fontId="2" fillId="0" borderId="0" xfId="0" applyFont="1" applyBorder="1" applyAlignment="1">
      <alignment horizontal="left" vertical="top"/>
    </xf>
    <xf numFmtId="0" fontId="77" fillId="0" borderId="0" xfId="0" applyFont="1" applyBorder="1" applyAlignment="1">
      <alignment vertical="top"/>
    </xf>
    <xf numFmtId="0" fontId="40" fillId="0" borderId="0" xfId="0" applyFont="1" applyBorder="1" applyAlignment="1">
      <alignment horizontal="left" vertical="top"/>
    </xf>
    <xf numFmtId="0" fontId="41" fillId="0" borderId="0" xfId="0" applyFont="1" applyAlignment="1">
      <alignment horizontal="left" vertical="top"/>
    </xf>
    <xf numFmtId="166" fontId="67" fillId="0" borderId="8" xfId="0" applyNumberFormat="1" applyFont="1" applyBorder="1" applyAlignment="1">
      <alignment horizontal="center" vertical="top" wrapText="1"/>
    </xf>
    <xf numFmtId="0" fontId="61" fillId="0" borderId="3" xfId="0" applyFont="1" applyBorder="1" applyAlignment="1">
      <alignment horizontal="center" vertical="center" wrapText="1"/>
    </xf>
    <xf numFmtId="0" fontId="61" fillId="0" borderId="23" xfId="0" applyFont="1" applyBorder="1" applyAlignment="1">
      <alignment horizontal="center" vertical="center" wrapText="1"/>
    </xf>
    <xf numFmtId="0" fontId="61" fillId="7" borderId="6" xfId="0" applyFont="1" applyFill="1" applyBorder="1" applyAlignment="1">
      <alignment horizontal="left" vertical="top" wrapText="1"/>
    </xf>
    <xf numFmtId="0" fontId="61" fillId="7" borderId="6" xfId="0" applyFont="1" applyFill="1" applyBorder="1" applyAlignment="1">
      <alignment horizontal="center" vertical="top" wrapText="1"/>
    </xf>
    <xf numFmtId="0" fontId="61" fillId="7" borderId="6" xfId="0" applyFont="1" applyFill="1" applyBorder="1" applyAlignment="1">
      <alignment horizontal="left" vertical="top"/>
    </xf>
    <xf numFmtId="0" fontId="61" fillId="7" borderId="6" xfId="0" applyFont="1" applyFill="1" applyBorder="1" applyAlignment="1">
      <alignment vertical="top" wrapText="1"/>
    </xf>
    <xf numFmtId="0" fontId="61" fillId="7" borderId="23" xfId="0" applyFont="1" applyFill="1" applyBorder="1" applyAlignment="1">
      <alignment horizontal="left" vertical="top" wrapText="1"/>
    </xf>
    <xf numFmtId="0" fontId="61" fillId="0" borderId="6" xfId="0" applyFont="1" applyBorder="1" applyAlignment="1">
      <alignment horizontal="left" vertical="top"/>
    </xf>
    <xf numFmtId="0" fontId="68" fillId="0" borderId="6" xfId="0" applyFont="1" applyFill="1" applyBorder="1" applyAlignment="1">
      <alignment horizontal="center"/>
    </xf>
    <xf numFmtId="0" fontId="19" fillId="0" borderId="6" xfId="0" applyFont="1" applyBorder="1" applyAlignment="1"/>
    <xf numFmtId="0" fontId="18" fillId="7" borderId="8" xfId="0" applyFont="1" applyFill="1" applyBorder="1" applyAlignment="1">
      <alignment vertical="top" wrapText="1"/>
    </xf>
    <xf numFmtId="0" fontId="18" fillId="7" borderId="9" xfId="0" applyFont="1" applyFill="1" applyBorder="1" applyAlignment="1">
      <alignment vertical="top" wrapText="1"/>
    </xf>
    <xf numFmtId="0" fontId="61" fillId="7" borderId="8" xfId="0" applyFont="1" applyFill="1" applyBorder="1" applyAlignment="1">
      <alignment vertical="top" wrapText="1"/>
    </xf>
    <xf numFmtId="0" fontId="61" fillId="7" borderId="8" xfId="0" applyFont="1" applyFill="1" applyBorder="1" applyAlignment="1">
      <alignment horizontal="left" vertical="top" wrapText="1"/>
    </xf>
    <xf numFmtId="0" fontId="18" fillId="7" borderId="24" xfId="0" applyFont="1" applyFill="1" applyBorder="1" applyAlignment="1">
      <alignment horizontal="left" vertical="top" wrapText="1"/>
    </xf>
    <xf numFmtId="0" fontId="68" fillId="0" borderId="23" xfId="0" applyFont="1" applyFill="1" applyBorder="1" applyAlignment="1">
      <alignment horizontal="center"/>
    </xf>
    <xf numFmtId="0" fontId="68" fillId="0" borderId="12" xfId="0" applyFont="1" applyFill="1" applyBorder="1" applyAlignment="1">
      <alignment horizontal="center"/>
    </xf>
    <xf numFmtId="0" fontId="61" fillId="7" borderId="6" xfId="0" applyFont="1" applyFill="1" applyBorder="1" applyAlignment="1">
      <alignment horizontal="center" vertical="center" wrapText="1"/>
    </xf>
    <xf numFmtId="0" fontId="61" fillId="7" borderId="12" xfId="0" applyFont="1" applyFill="1" applyBorder="1" applyAlignment="1">
      <alignment vertical="top" wrapText="1"/>
    </xf>
    <xf numFmtId="0" fontId="61" fillId="7" borderId="12" xfId="0" applyFont="1" applyFill="1" applyBorder="1" applyAlignment="1">
      <alignment horizontal="center" vertical="top" wrapText="1"/>
    </xf>
    <xf numFmtId="0" fontId="61" fillId="0" borderId="6" xfId="0" applyFont="1" applyBorder="1" applyAlignment="1">
      <alignment horizontal="center" vertical="center" wrapText="1"/>
    </xf>
    <xf numFmtId="0" fontId="61" fillId="7" borderId="3" xfId="12" applyFont="1" applyFill="1" applyBorder="1" applyAlignment="1">
      <alignment horizontal="left" vertical="top" wrapText="1"/>
    </xf>
    <xf numFmtId="0" fontId="61" fillId="0" borderId="3" xfId="12" applyFont="1" applyBorder="1" applyAlignment="1">
      <alignment horizontal="left" vertical="top" wrapText="1"/>
    </xf>
    <xf numFmtId="0" fontId="18" fillId="7" borderId="23" xfId="0" applyFont="1" applyFill="1" applyBorder="1" applyAlignment="1">
      <alignment horizontal="left" vertical="top" wrapText="1"/>
    </xf>
    <xf numFmtId="0" fontId="18" fillId="7" borderId="12" xfId="0" applyFont="1" applyFill="1" applyBorder="1" applyAlignment="1">
      <alignment horizontal="left" vertical="top" wrapText="1"/>
    </xf>
    <xf numFmtId="0" fontId="61" fillId="0" borderId="5" xfId="0" applyFont="1" applyBorder="1" applyAlignment="1">
      <alignment horizontal="center" vertical="center" wrapText="1"/>
    </xf>
    <xf numFmtId="0" fontId="61" fillId="0" borderId="2" xfId="0" applyFont="1" applyBorder="1" applyAlignment="1">
      <alignment horizontal="center" vertical="center" wrapText="1"/>
    </xf>
    <xf numFmtId="0" fontId="61" fillId="0" borderId="6" xfId="0" applyFont="1" applyBorder="1" applyAlignment="1">
      <alignment vertical="top" wrapText="1"/>
    </xf>
    <xf numFmtId="0" fontId="61" fillId="0" borderId="1" xfId="0" applyFont="1" applyBorder="1" applyAlignment="1">
      <alignment vertical="top" wrapText="1"/>
    </xf>
    <xf numFmtId="0" fontId="61" fillId="0" borderId="10" xfId="0" applyFont="1" applyBorder="1" applyAlignment="1">
      <alignment vertical="top" wrapText="1"/>
    </xf>
    <xf numFmtId="0" fontId="61" fillId="0" borderId="2" xfId="0" applyFont="1" applyBorder="1" applyAlignment="1">
      <alignment vertical="top" wrapText="1"/>
    </xf>
    <xf numFmtId="0" fontId="18" fillId="7" borderId="1" xfId="0" applyFont="1" applyFill="1" applyBorder="1" applyAlignment="1">
      <alignment vertical="top" wrapText="1"/>
    </xf>
    <xf numFmtId="0" fontId="14" fillId="0" borderId="0" xfId="11" applyFont="1" applyBorder="1" applyAlignment="1">
      <alignment horizontal="center" vertical="center"/>
    </xf>
    <xf numFmtId="0" fontId="7" fillId="0" borderId="0" xfId="11" applyFont="1" applyBorder="1" applyAlignment="1">
      <alignment horizontal="right" vertical="center"/>
    </xf>
    <xf numFmtId="0" fontId="18" fillId="0" borderId="0" xfId="11" applyFont="1" applyBorder="1" applyAlignment="1">
      <alignment horizontal="center" vertical="center"/>
    </xf>
    <xf numFmtId="0" fontId="14" fillId="0" borderId="0" xfId="11" applyFont="1" applyBorder="1" applyAlignment="1"/>
    <xf numFmtId="0" fontId="18" fillId="0" borderId="24" xfId="11" applyFont="1" applyBorder="1" applyAlignment="1">
      <alignment horizontal="left" vertical="top" wrapText="1"/>
    </xf>
    <xf numFmtId="166" fontId="22" fillId="0" borderId="0" xfId="17" applyNumberFormat="1" applyFont="1" applyFill="1" applyBorder="1" applyAlignment="1">
      <alignment vertical="top" wrapText="1"/>
    </xf>
    <xf numFmtId="166" fontId="5" fillId="0" borderId="24" xfId="17" applyNumberFormat="1" applyFont="1" applyBorder="1" applyAlignment="1"/>
    <xf numFmtId="166" fontId="22" fillId="0" borderId="24" xfId="17" applyNumberFormat="1" applyFont="1" applyFill="1" applyBorder="1" applyAlignment="1"/>
    <xf numFmtId="0" fontId="22" fillId="0" borderId="4" xfId="0" quotePrefix="1" applyFont="1" applyBorder="1"/>
    <xf numFmtId="0" fontId="39" fillId="0" borderId="0" xfId="0" applyFont="1"/>
    <xf numFmtId="0" fontId="42" fillId="0" borderId="0" xfId="0" applyFont="1"/>
    <xf numFmtId="0" fontId="22" fillId="2" borderId="8" xfId="17" applyFont="1" applyFill="1" applyBorder="1" applyAlignment="1">
      <alignment vertical="center" wrapText="1"/>
    </xf>
    <xf numFmtId="0" fontId="18" fillId="0" borderId="6" xfId="0" applyFont="1" applyBorder="1" applyAlignment="1">
      <alignment horizontal="center"/>
    </xf>
    <xf numFmtId="0" fontId="6" fillId="0" borderId="0" xfId="11" applyFont="1"/>
    <xf numFmtId="0" fontId="18" fillId="0" borderId="1" xfId="17" applyFont="1" applyFill="1" applyBorder="1" applyAlignment="1">
      <alignment horizontal="right"/>
    </xf>
    <xf numFmtId="0" fontId="18" fillId="0" borderId="23" xfId="17" applyFont="1" applyFill="1" applyBorder="1" applyAlignment="1">
      <alignment horizontal="right"/>
    </xf>
    <xf numFmtId="0" fontId="18" fillId="0" borderId="0" xfId="17" applyFont="1" applyBorder="1" applyAlignment="1">
      <alignment horizontal="center"/>
    </xf>
    <xf numFmtId="0" fontId="58" fillId="0" borderId="0" xfId="17" applyFont="1" applyFill="1" applyBorder="1" applyAlignment="1">
      <alignment horizontal="center"/>
    </xf>
    <xf numFmtId="0" fontId="58" fillId="0" borderId="0" xfId="11" applyFont="1" applyFill="1" applyBorder="1" applyAlignment="1"/>
    <xf numFmtId="0" fontId="56" fillId="0" borderId="0" xfId="17" applyFont="1" applyAlignment="1"/>
    <xf numFmtId="0" fontId="62" fillId="0" borderId="0" xfId="17" applyFont="1" applyFill="1" applyBorder="1" applyAlignment="1"/>
    <xf numFmtId="0" fontId="58" fillId="0" borderId="0" xfId="17" applyFont="1" applyFill="1" applyBorder="1" applyAlignment="1"/>
    <xf numFmtId="0" fontId="22" fillId="0" borderId="20" xfId="0" applyFont="1" applyBorder="1" applyAlignment="1">
      <alignment vertical="center" wrapText="1"/>
    </xf>
    <xf numFmtId="0" fontId="22" fillId="0" borderId="72" xfId="10" applyFont="1" applyFill="1" applyBorder="1" applyAlignment="1">
      <alignment horizontal="center" vertical="center" wrapText="1"/>
    </xf>
    <xf numFmtId="0" fontId="8" fillId="0" borderId="4" xfId="10" applyFont="1" applyFill="1" applyBorder="1" applyAlignment="1">
      <alignment horizontal="center"/>
    </xf>
    <xf numFmtId="0" fontId="8" fillId="0" borderId="4" xfId="10" applyFont="1" applyFill="1" applyBorder="1"/>
    <xf numFmtId="0" fontId="22" fillId="0" borderId="68" xfId="0" applyFont="1" applyBorder="1" applyAlignment="1">
      <alignment vertical="center" wrapText="1"/>
    </xf>
    <xf numFmtId="0" fontId="22" fillId="0" borderId="41" xfId="0" applyFont="1" applyBorder="1" applyAlignment="1">
      <alignment horizontal="left" vertical="center" wrapText="1"/>
    </xf>
    <xf numFmtId="0" fontId="18" fillId="0" borderId="81" xfId="10" applyFont="1" applyFill="1" applyBorder="1" applyAlignment="1">
      <alignment horizontal="center" vertical="top" textRotation="255"/>
    </xf>
    <xf numFmtId="0" fontId="12" fillId="0" borderId="82" xfId="10" applyFont="1" applyFill="1" applyBorder="1" applyAlignment="1">
      <alignment horizontal="center" vertical="top"/>
    </xf>
    <xf numFmtId="0" fontId="12" fillId="0" borderId="8" xfId="10" applyFont="1" applyFill="1" applyBorder="1" applyAlignment="1">
      <alignment horizontal="center" vertical="top" wrapText="1"/>
    </xf>
    <xf numFmtId="0" fontId="12" fillId="0" borderId="8" xfId="0" applyFont="1" applyBorder="1" applyAlignment="1">
      <alignment horizontal="center" vertical="top"/>
    </xf>
    <xf numFmtId="0" fontId="12" fillId="0" borderId="9" xfId="10" applyFont="1" applyFill="1" applyBorder="1" applyAlignment="1">
      <alignment horizontal="center" vertical="top" wrapText="1"/>
    </xf>
    <xf numFmtId="0" fontId="12" fillId="0" borderId="10" xfId="10" applyFont="1" applyFill="1" applyBorder="1" applyAlignment="1">
      <alignment horizontal="center" vertical="top" wrapText="1"/>
    </xf>
    <xf numFmtId="0" fontId="12" fillId="0" borderId="83" xfId="10" applyFont="1" applyFill="1" applyBorder="1" applyAlignment="1">
      <alignment vertical="top" wrapText="1"/>
    </xf>
    <xf numFmtId="0" fontId="12" fillId="0" borderId="66" xfId="10" applyFont="1" applyFill="1" applyBorder="1" applyAlignment="1">
      <alignment vertical="top" wrapText="1"/>
    </xf>
    <xf numFmtId="0" fontId="12" fillId="0" borderId="4" xfId="10" applyFont="1" applyFill="1" applyBorder="1" applyAlignment="1">
      <alignment horizontal="center" vertical="top"/>
    </xf>
    <xf numFmtId="0" fontId="22" fillId="0" borderId="41" xfId="0" applyFont="1" applyBorder="1" applyAlignment="1">
      <alignment vertical="center" wrapText="1"/>
    </xf>
    <xf numFmtId="166" fontId="62" fillId="0" borderId="9" xfId="17" applyNumberFormat="1" applyFont="1" applyFill="1" applyBorder="1" applyAlignment="1"/>
    <xf numFmtId="0" fontId="58" fillId="0" borderId="72" xfId="10" applyFont="1" applyFill="1" applyBorder="1" applyAlignment="1">
      <alignment horizontal="center" vertical="center" wrapText="1"/>
    </xf>
    <xf numFmtId="0" fontId="58" fillId="0" borderId="70" xfId="0" applyFont="1" applyBorder="1" applyAlignment="1">
      <alignment vertical="center" wrapText="1"/>
    </xf>
    <xf numFmtId="0" fontId="72" fillId="0" borderId="6" xfId="10" applyFont="1" applyFill="1" applyBorder="1" applyAlignment="1">
      <alignment horizontal="center"/>
    </xf>
    <xf numFmtId="0" fontId="72" fillId="0" borderId="6" xfId="10" applyFont="1" applyFill="1" applyBorder="1"/>
    <xf numFmtId="0" fontId="58" fillId="0" borderId="71" xfId="0" applyFont="1" applyBorder="1" applyAlignment="1">
      <alignment vertical="center" wrapText="1"/>
    </xf>
    <xf numFmtId="0" fontId="58" fillId="5" borderId="84" xfId="17" applyFont="1" applyFill="1" applyBorder="1" applyAlignment="1">
      <alignment vertical="top"/>
    </xf>
    <xf numFmtId="0" fontId="58" fillId="5" borderId="56" xfId="17" applyFont="1" applyFill="1" applyBorder="1" applyAlignment="1">
      <alignment vertical="center"/>
    </xf>
    <xf numFmtId="0" fontId="58" fillId="5" borderId="31" xfId="17" applyFont="1" applyFill="1" applyBorder="1" applyAlignment="1">
      <alignment vertical="center"/>
    </xf>
    <xf numFmtId="0" fontId="58" fillId="5" borderId="29" xfId="0" applyFont="1" applyFill="1" applyBorder="1"/>
    <xf numFmtId="0" fontId="58" fillId="5" borderId="27" xfId="0" applyFont="1" applyFill="1" applyBorder="1"/>
    <xf numFmtId="166" fontId="62" fillId="0" borderId="9" xfId="17" applyNumberFormat="1" applyFont="1" applyFill="1" applyBorder="1" applyAlignment="1">
      <alignment horizontal="left" wrapText="1"/>
    </xf>
    <xf numFmtId="0" fontId="58" fillId="2" borderId="1" xfId="17" applyFont="1" applyFill="1" applyBorder="1" applyAlignment="1">
      <alignment vertical="center"/>
    </xf>
    <xf numFmtId="0" fontId="57" fillId="2" borderId="1" xfId="17" applyFont="1" applyFill="1" applyBorder="1" applyAlignment="1">
      <alignment vertical="center"/>
    </xf>
    <xf numFmtId="0" fontId="70" fillId="0" borderId="0" xfId="0" applyFont="1" applyFill="1" applyAlignment="1">
      <alignment wrapText="1"/>
    </xf>
    <xf numFmtId="166" fontId="62" fillId="0" borderId="22" xfId="17" applyNumberFormat="1" applyFont="1" applyFill="1" applyBorder="1" applyAlignment="1">
      <alignment horizontal="left" wrapText="1"/>
    </xf>
    <xf numFmtId="0" fontId="58" fillId="0" borderId="1" xfId="0" applyFont="1" applyFill="1" applyBorder="1" applyAlignment="1">
      <alignment vertical="top" wrapText="1"/>
    </xf>
    <xf numFmtId="0" fontId="58" fillId="0" borderId="0" xfId="0" applyFont="1" applyFill="1" applyBorder="1" applyAlignment="1">
      <alignment wrapText="1"/>
    </xf>
    <xf numFmtId="0" fontId="58" fillId="0" borderId="0" xfId="0" quotePrefix="1" applyFont="1" applyFill="1" applyBorder="1" applyAlignment="1">
      <alignment vertical="top" wrapText="1"/>
    </xf>
    <xf numFmtId="0" fontId="62" fillId="0" borderId="22" xfId="16" applyFont="1" applyFill="1" applyBorder="1" applyAlignment="1">
      <alignment horizontal="center" vertical="center" wrapText="1"/>
    </xf>
    <xf numFmtId="166" fontId="62" fillId="0" borderId="8" xfId="17" applyNumberFormat="1" applyFont="1" applyFill="1" applyBorder="1" applyAlignment="1">
      <alignment horizontal="left" vertical="top" wrapText="1"/>
    </xf>
    <xf numFmtId="0" fontId="69" fillId="0" borderId="0" xfId="17" applyFont="1" applyFill="1"/>
    <xf numFmtId="166" fontId="62" fillId="0" borderId="8" xfId="17" applyNumberFormat="1" applyFont="1" applyFill="1" applyBorder="1" applyAlignment="1">
      <alignment horizontal="left" wrapText="1"/>
    </xf>
    <xf numFmtId="0" fontId="54" fillId="0" borderId="3" xfId="17" applyFont="1" applyFill="1" applyBorder="1"/>
    <xf numFmtId="0" fontId="58" fillId="0" borderId="3" xfId="0" applyFont="1" applyFill="1" applyBorder="1" applyAlignment="1">
      <alignment horizontal="right"/>
    </xf>
    <xf numFmtId="0" fontId="62" fillId="0" borderId="18" xfId="17" applyFont="1" applyFill="1" applyBorder="1" applyAlignment="1">
      <alignment horizontal="center"/>
    </xf>
    <xf numFmtId="0" fontId="58" fillId="0" borderId="7" xfId="17" applyFont="1" applyFill="1" applyBorder="1" applyAlignment="1"/>
    <xf numFmtId="0" fontId="58" fillId="0" borderId="3" xfId="17" applyFont="1" applyFill="1" applyBorder="1" applyAlignment="1"/>
    <xf numFmtId="0" fontId="58" fillId="0" borderId="8" xfId="17" applyFont="1" applyFill="1" applyBorder="1" applyAlignment="1"/>
    <xf numFmtId="0" fontId="58" fillId="0" borderId="4" xfId="17" applyFont="1" applyFill="1" applyBorder="1" applyAlignment="1"/>
    <xf numFmtId="0" fontId="58" fillId="0" borderId="18" xfId="17" applyFont="1" applyFill="1" applyBorder="1" applyAlignment="1"/>
    <xf numFmtId="0" fontId="57" fillId="0" borderId="0" xfId="17" applyFont="1" applyFill="1" applyBorder="1" applyAlignment="1">
      <alignment horizontal="left" vertical="center"/>
    </xf>
    <xf numFmtId="0" fontId="56" fillId="0" borderId="0" xfId="0" applyFont="1" applyAlignment="1">
      <alignment horizontal="left" vertical="center" wrapText="1"/>
    </xf>
    <xf numFmtId="166" fontId="58" fillId="0" borderId="9" xfId="17" applyNumberFormat="1" applyFont="1" applyFill="1" applyBorder="1" applyAlignment="1">
      <alignment horizontal="left"/>
    </xf>
    <xf numFmtId="0" fontId="58" fillId="0" borderId="1" xfId="17" applyFont="1" applyFill="1" applyBorder="1" applyAlignment="1">
      <alignment horizontal="left"/>
    </xf>
    <xf numFmtId="0" fontId="58" fillId="0" borderId="1" xfId="17" applyFont="1" applyFill="1" applyBorder="1" applyAlignment="1">
      <alignment horizontal="left" vertical="top"/>
    </xf>
    <xf numFmtId="0" fontId="58" fillId="0" borderId="1" xfId="17" applyFont="1" applyFill="1" applyBorder="1" applyAlignment="1">
      <alignment horizontal="left" vertical="top" wrapText="1"/>
    </xf>
    <xf numFmtId="0" fontId="58" fillId="0" borderId="23" xfId="17" applyFont="1" applyFill="1" applyBorder="1" applyAlignment="1">
      <alignment horizontal="left"/>
    </xf>
    <xf numFmtId="0" fontId="62" fillId="0" borderId="44" xfId="17" applyFont="1" applyFill="1" applyBorder="1" applyAlignment="1">
      <alignment horizontal="left"/>
    </xf>
    <xf numFmtId="0" fontId="70" fillId="0" borderId="7" xfId="17" applyFont="1" applyFill="1" applyBorder="1" applyAlignment="1">
      <alignment horizontal="left"/>
    </xf>
    <xf numFmtId="0" fontId="70" fillId="0" borderId="4" xfId="17" applyFont="1" applyFill="1" applyBorder="1" applyAlignment="1">
      <alignment horizontal="left"/>
    </xf>
    <xf numFmtId="0" fontId="57" fillId="0" borderId="0" xfId="17" applyFont="1" applyFill="1" applyBorder="1" applyAlignment="1">
      <alignment horizontal="left"/>
    </xf>
    <xf numFmtId="0" fontId="58" fillId="0" borderId="22" xfId="17" applyFont="1" applyFill="1" applyBorder="1" applyAlignment="1">
      <alignment horizontal="left"/>
    </xf>
    <xf numFmtId="0" fontId="58" fillId="0" borderId="22" xfId="17" applyFont="1" applyFill="1" applyBorder="1" applyAlignment="1"/>
    <xf numFmtId="0" fontId="58" fillId="0" borderId="10" xfId="17" applyFont="1" applyFill="1" applyBorder="1" applyAlignment="1"/>
    <xf numFmtId="166" fontId="62" fillId="0" borderId="1" xfId="17" applyNumberFormat="1" applyFont="1" applyFill="1" applyBorder="1" applyAlignment="1"/>
    <xf numFmtId="0" fontId="78" fillId="0" borderId="0" xfId="17" applyFont="1" applyAlignment="1">
      <alignment horizontal="left"/>
    </xf>
    <xf numFmtId="0" fontId="58" fillId="0" borderId="2" xfId="17" applyFont="1" applyFill="1" applyBorder="1" applyAlignment="1"/>
    <xf numFmtId="0" fontId="62" fillId="0" borderId="0" xfId="17" applyFont="1" applyFill="1" applyBorder="1" applyAlignment="1">
      <alignment horizontal="left"/>
    </xf>
    <xf numFmtId="0" fontId="18" fillId="7" borderId="8" xfId="0" applyFont="1" applyFill="1" applyBorder="1" applyAlignment="1">
      <alignment horizontal="left" vertical="top" wrapText="1"/>
    </xf>
    <xf numFmtId="0" fontId="22" fillId="0" borderId="50" xfId="17" applyFont="1" applyFill="1" applyBorder="1" applyAlignment="1">
      <alignment horizontal="center" vertical="center" wrapText="1"/>
    </xf>
    <xf numFmtId="0" fontId="0" fillId="0" borderId="1" xfId="0" applyBorder="1" applyAlignment="1">
      <alignment wrapText="1"/>
    </xf>
    <xf numFmtId="0" fontId="79" fillId="0" borderId="3" xfId="0" applyFont="1" applyFill="1" applyBorder="1" applyAlignment="1">
      <alignment vertical="top" wrapText="1"/>
    </xf>
    <xf numFmtId="165" fontId="22" fillId="0" borderId="39" xfId="15" applyNumberFormat="1" applyFont="1" applyFill="1" applyBorder="1" applyAlignment="1">
      <alignment horizontal="center" vertical="center"/>
    </xf>
    <xf numFmtId="165" fontId="22" fillId="0" borderId="9" xfId="15" applyNumberFormat="1" applyFont="1" applyFill="1" applyBorder="1" applyAlignment="1">
      <alignment horizontal="center" vertical="center"/>
    </xf>
    <xf numFmtId="165" fontId="22" fillId="0" borderId="1" xfId="15" applyNumberFormat="1" applyFont="1" applyFill="1" applyBorder="1" applyAlignment="1">
      <alignment horizontal="center" vertical="center"/>
    </xf>
    <xf numFmtId="1" fontId="8" fillId="0" borderId="10" xfId="3" applyNumberFormat="1" applyFont="1" applyFill="1" applyBorder="1" applyAlignment="1">
      <alignment horizontal="center"/>
    </xf>
    <xf numFmtId="0" fontId="9" fillId="0" borderId="0" xfId="17" applyFont="1" applyFill="1" applyBorder="1" applyAlignment="1">
      <alignment vertical="top"/>
    </xf>
    <xf numFmtId="0" fontId="9" fillId="0" borderId="24" xfId="17" applyFont="1" applyFill="1" applyBorder="1" applyAlignment="1">
      <alignment vertical="top"/>
    </xf>
    <xf numFmtId="1" fontId="22" fillId="0" borderId="45" xfId="3" applyNumberFormat="1" applyFont="1" applyFill="1" applyBorder="1" applyAlignment="1">
      <alignment horizontal="center"/>
    </xf>
    <xf numFmtId="0" fontId="14" fillId="2" borderId="2" xfId="17" applyFont="1" applyFill="1" applyBorder="1" applyAlignment="1"/>
    <xf numFmtId="0" fontId="14" fillId="2" borderId="10" xfId="17" applyFont="1" applyFill="1" applyBorder="1" applyAlignment="1"/>
    <xf numFmtId="0" fontId="6" fillId="0" borderId="0" xfId="17" applyFont="1" applyAlignment="1">
      <alignment horizontal="center" vertical="center"/>
    </xf>
    <xf numFmtId="0" fontId="18" fillId="7" borderId="1" xfId="0" applyFont="1" applyFill="1" applyBorder="1" applyAlignment="1">
      <alignment wrapText="1"/>
    </xf>
    <xf numFmtId="0" fontId="18" fillId="7" borderId="2" xfId="0" applyFont="1" applyFill="1" applyBorder="1" applyAlignment="1">
      <alignment wrapText="1"/>
    </xf>
    <xf numFmtId="0" fontId="80" fillId="0" borderId="0" xfId="17" applyFont="1" applyFill="1" applyBorder="1"/>
    <xf numFmtId="0" fontId="80" fillId="0" borderId="25" xfId="17" applyFont="1" applyFill="1" applyBorder="1"/>
    <xf numFmtId="0" fontId="80" fillId="0" borderId="17" xfId="17" applyFont="1" applyFill="1" applyBorder="1"/>
    <xf numFmtId="0" fontId="6" fillId="0" borderId="0" xfId="17" applyFont="1" applyBorder="1" applyAlignment="1"/>
    <xf numFmtId="0" fontId="7" fillId="0" borderId="0" xfId="17" applyFont="1" applyBorder="1"/>
    <xf numFmtId="0" fontId="7" fillId="0" borderId="9" xfId="17" applyFont="1" applyBorder="1"/>
    <xf numFmtId="0" fontId="6" fillId="2" borderId="22" xfId="17" applyFont="1" applyFill="1" applyBorder="1"/>
    <xf numFmtId="0" fontId="6" fillId="2" borderId="10" xfId="17" applyFont="1" applyFill="1" applyBorder="1"/>
    <xf numFmtId="0" fontId="7" fillId="0" borderId="1" xfId="17" applyFont="1" applyBorder="1"/>
    <xf numFmtId="0" fontId="7" fillId="0" borderId="2" xfId="17" applyFont="1" applyBorder="1"/>
    <xf numFmtId="0" fontId="7" fillId="0" borderId="0" xfId="17" applyFont="1" applyBorder="1" applyAlignment="1">
      <alignment wrapText="1"/>
    </xf>
    <xf numFmtId="0" fontId="7" fillId="0" borderId="1" xfId="17" applyFont="1" applyBorder="1" applyAlignment="1">
      <alignment wrapText="1"/>
    </xf>
    <xf numFmtId="0" fontId="7" fillId="0" borderId="2" xfId="17" applyFont="1" applyBorder="1" applyAlignment="1">
      <alignment wrapText="1"/>
    </xf>
    <xf numFmtId="0" fontId="7" fillId="0" borderId="1" xfId="17" applyFont="1" applyBorder="1" applyAlignment="1">
      <alignment vertical="top" wrapText="1"/>
    </xf>
    <xf numFmtId="0" fontId="7" fillId="0" borderId="0" xfId="17" applyFont="1" applyBorder="1" applyAlignment="1">
      <alignment vertical="top" wrapText="1"/>
    </xf>
    <xf numFmtId="0" fontId="7" fillId="0" borderId="2" xfId="17" applyFont="1" applyBorder="1" applyAlignment="1">
      <alignment vertical="top" wrapText="1"/>
    </xf>
    <xf numFmtId="0" fontId="7" fillId="0" borderId="23" xfId="17" applyFont="1" applyBorder="1" applyAlignment="1">
      <alignment vertical="top" wrapText="1"/>
    </xf>
    <xf numFmtId="0" fontId="7" fillId="0" borderId="24" xfId="17" applyFont="1" applyBorder="1" applyAlignment="1">
      <alignment vertical="top" wrapText="1"/>
    </xf>
    <xf numFmtId="0" fontId="7" fillId="0" borderId="12" xfId="17" applyFont="1" applyBorder="1" applyAlignment="1">
      <alignment vertical="top" wrapText="1"/>
    </xf>
    <xf numFmtId="0" fontId="6" fillId="0" borderId="1" xfId="17" applyFont="1" applyBorder="1"/>
    <xf numFmtId="0" fontId="6" fillId="0" borderId="1" xfId="17" applyFont="1" applyBorder="1" applyAlignment="1"/>
    <xf numFmtId="0" fontId="6" fillId="0" borderId="0" xfId="11" applyFont="1" applyAlignment="1">
      <alignment horizontal="left"/>
    </xf>
    <xf numFmtId="0" fontId="6" fillId="0" borderId="0" xfId="11" applyFont="1" applyAlignment="1"/>
    <xf numFmtId="0" fontId="14" fillId="0" borderId="0" xfId="11" applyFont="1" applyAlignment="1">
      <alignment horizontal="right"/>
    </xf>
    <xf numFmtId="1" fontId="7" fillId="0" borderId="0" xfId="6" applyNumberFormat="1" applyFont="1" applyFill="1" applyBorder="1" applyAlignment="1">
      <alignment horizontal="left"/>
    </xf>
    <xf numFmtId="0" fontId="6" fillId="2" borderId="0" xfId="17" applyFont="1" applyFill="1" applyAlignment="1">
      <alignment horizontal="left"/>
    </xf>
    <xf numFmtId="0" fontId="11" fillId="0" borderId="0" xfId="17" applyFont="1" applyFill="1" applyBorder="1" applyAlignment="1">
      <alignment horizontal="center"/>
    </xf>
    <xf numFmtId="0" fontId="11" fillId="0" borderId="0" xfId="11" applyFont="1" applyAlignment="1"/>
    <xf numFmtId="1" fontId="6" fillId="0" borderId="0" xfId="6" applyNumberFormat="1" applyFont="1" applyFill="1" applyBorder="1" applyAlignment="1">
      <alignment horizontal="left"/>
    </xf>
    <xf numFmtId="0" fontId="18" fillId="0" borderId="3" xfId="10" applyFont="1" applyBorder="1" applyAlignment="1">
      <alignment vertical="center" wrapText="1"/>
    </xf>
    <xf numFmtId="166" fontId="61" fillId="0" borderId="10" xfId="17" applyNumberFormat="1" applyFont="1" applyFill="1" applyBorder="1" applyAlignment="1">
      <alignment horizontal="left"/>
    </xf>
    <xf numFmtId="0" fontId="61" fillId="0" borderId="1" xfId="10" applyFont="1" applyFill="1" applyBorder="1" applyAlignment="1">
      <alignment vertical="top"/>
    </xf>
    <xf numFmtId="0" fontId="61" fillId="0" borderId="0" xfId="10" applyFont="1" applyFill="1" applyBorder="1" applyAlignment="1">
      <alignment vertical="top"/>
    </xf>
    <xf numFmtId="0" fontId="61" fillId="0" borderId="2" xfId="17" applyFont="1" applyFill="1" applyBorder="1" applyAlignment="1"/>
    <xf numFmtId="0" fontId="81" fillId="0" borderId="0" xfId="17" applyFont="1" applyFill="1" applyBorder="1" applyAlignment="1"/>
    <xf numFmtId="0" fontId="61" fillId="0" borderId="0" xfId="17" applyFont="1" applyFill="1" applyBorder="1" applyAlignment="1">
      <alignment horizontal="left" vertical="center"/>
    </xf>
    <xf numFmtId="0" fontId="61" fillId="0" borderId="1" xfId="17" applyFont="1" applyFill="1" applyBorder="1" applyAlignment="1"/>
    <xf numFmtId="0" fontId="61" fillId="0" borderId="0" xfId="17" applyFont="1" applyFill="1" applyBorder="1" applyAlignment="1"/>
    <xf numFmtId="0" fontId="61" fillId="0" borderId="22" xfId="17" applyFont="1" applyFill="1" applyBorder="1" applyAlignment="1"/>
    <xf numFmtId="0" fontId="61" fillId="0" borderId="10" xfId="17" applyFont="1" applyFill="1" applyBorder="1" applyAlignment="1"/>
    <xf numFmtId="0" fontId="59" fillId="0" borderId="0" xfId="17" applyFont="1" applyFill="1" applyBorder="1" applyAlignment="1"/>
    <xf numFmtId="0" fontId="81" fillId="0" borderId="1" xfId="17" applyFont="1" applyFill="1" applyBorder="1" applyAlignment="1"/>
    <xf numFmtId="0" fontId="61" fillId="0" borderId="3" xfId="17" applyFont="1" applyFill="1" applyBorder="1" applyAlignment="1">
      <alignment vertical="center"/>
    </xf>
    <xf numFmtId="0" fontId="61" fillId="0" borderId="3" xfId="17" applyFont="1" applyFill="1" applyBorder="1" applyAlignment="1">
      <alignment horizontal="left"/>
    </xf>
    <xf numFmtId="0" fontId="61" fillId="0" borderId="6" xfId="17" applyFont="1" applyFill="1" applyBorder="1" applyAlignment="1">
      <alignment horizontal="left"/>
    </xf>
    <xf numFmtId="0" fontId="67" fillId="0" borderId="3" xfId="17" applyFont="1" applyFill="1" applyBorder="1" applyAlignment="1">
      <alignment horizontal="center"/>
    </xf>
    <xf numFmtId="0" fontId="61" fillId="0" borderId="3" xfId="10" applyFont="1" applyBorder="1"/>
    <xf numFmtId="0" fontId="61" fillId="0" borderId="3" xfId="10" applyFont="1" applyBorder="1" applyAlignment="1">
      <alignment vertical="top" wrapText="1"/>
    </xf>
    <xf numFmtId="0" fontId="61" fillId="0" borderId="3" xfId="10" applyFont="1" applyBorder="1" applyAlignment="1">
      <alignment horizontal="left" vertical="top" wrapText="1"/>
    </xf>
    <xf numFmtId="0" fontId="61" fillId="0" borderId="3" xfId="17" applyFont="1" applyFill="1" applyBorder="1" applyAlignment="1"/>
    <xf numFmtId="0" fontId="18" fillId="0" borderId="3" xfId="0" applyFont="1" applyFill="1" applyBorder="1" applyAlignment="1">
      <alignment horizontal="left" vertical="center"/>
    </xf>
    <xf numFmtId="0" fontId="25" fillId="0" borderId="0" xfId="17" applyFont="1" applyFill="1" applyBorder="1" applyAlignment="1">
      <alignment horizontal="right"/>
    </xf>
    <xf numFmtId="0" fontId="25" fillId="0" borderId="0" xfId="17" applyFont="1" applyFill="1" applyBorder="1" applyAlignment="1"/>
    <xf numFmtId="0" fontId="18" fillId="0" borderId="0" xfId="17" applyFont="1" applyFill="1" applyBorder="1" applyAlignment="1">
      <alignment horizontal="right" vertical="center"/>
    </xf>
    <xf numFmtId="0" fontId="18" fillId="0" borderId="0" xfId="17" applyFont="1" applyFill="1" applyBorder="1" applyAlignment="1">
      <alignment horizontal="left" vertical="center"/>
    </xf>
    <xf numFmtId="0" fontId="19" fillId="0" borderId="12" xfId="10" applyFont="1" applyBorder="1" applyAlignment="1">
      <alignment wrapText="1"/>
    </xf>
    <xf numFmtId="0" fontId="25" fillId="0" borderId="0" xfId="17" applyFont="1" applyFill="1" applyBorder="1" applyAlignment="1">
      <alignment vertical="center"/>
    </xf>
    <xf numFmtId="0" fontId="39" fillId="0" borderId="3" xfId="0" applyFont="1" applyBorder="1" applyAlignment="1">
      <alignment horizontal="left"/>
    </xf>
    <xf numFmtId="0" fontId="39" fillId="0" borderId="3" xfId="0" applyFont="1" applyBorder="1" applyAlignment="1">
      <alignment horizontal="center"/>
    </xf>
    <xf numFmtId="0" fontId="18" fillId="0" borderId="20" xfId="17" applyFont="1" applyFill="1" applyBorder="1" applyAlignment="1">
      <alignment vertical="top" wrapText="1"/>
    </xf>
    <xf numFmtId="0" fontId="18" fillId="0" borderId="20" xfId="17" applyFont="1" applyFill="1" applyBorder="1" applyAlignment="1">
      <alignment wrapText="1"/>
    </xf>
    <xf numFmtId="0" fontId="18" fillId="0" borderId="20" xfId="0" applyFont="1" applyFill="1" applyBorder="1" applyAlignment="1">
      <alignment horizontal="left" wrapText="1"/>
    </xf>
    <xf numFmtId="0" fontId="18" fillId="0" borderId="85" xfId="0" applyFont="1" applyBorder="1" applyAlignment="1">
      <alignment vertical="center" wrapText="1"/>
    </xf>
    <xf numFmtId="0" fontId="18" fillId="0" borderId="68" xfId="10" applyFont="1" applyFill="1" applyBorder="1" applyAlignment="1">
      <alignment vertical="center" wrapText="1"/>
    </xf>
    <xf numFmtId="0" fontId="79" fillId="0" borderId="1" xfId="10" applyFont="1" applyFill="1" applyBorder="1" applyAlignment="1">
      <alignment vertical="top" wrapText="1"/>
    </xf>
    <xf numFmtId="0" fontId="7" fillId="0" borderId="0" xfId="0" applyFont="1" applyBorder="1"/>
    <xf numFmtId="0" fontId="5" fillId="0" borderId="6" xfId="0" applyFont="1" applyBorder="1" applyAlignment="1">
      <alignment horizontal="center" vertical="center" wrapText="1"/>
    </xf>
    <xf numFmtId="0" fontId="13" fillId="0" borderId="0" xfId="0" applyFont="1"/>
    <xf numFmtId="0" fontId="5" fillId="0" borderId="4" xfId="0" applyFont="1" applyBorder="1" applyAlignment="1">
      <alignment horizontal="center" vertical="center" wrapText="1"/>
    </xf>
    <xf numFmtId="0" fontId="13" fillId="0" borderId="4" xfId="0" applyFont="1" applyBorder="1"/>
    <xf numFmtId="0" fontId="5" fillId="0" borderId="0" xfId="0" applyFont="1" applyAlignment="1">
      <alignment vertical="center"/>
    </xf>
    <xf numFmtId="0" fontId="18" fillId="0" borderId="2" xfId="10" applyFont="1" applyFill="1" applyBorder="1" applyAlignment="1">
      <alignment horizontal="left" vertical="center" wrapText="1"/>
    </xf>
    <xf numFmtId="0" fontId="18" fillId="0" borderId="5" xfId="0" applyFont="1" applyFill="1" applyBorder="1" applyAlignment="1">
      <alignment vertical="center" wrapText="1"/>
    </xf>
    <xf numFmtId="0" fontId="13" fillId="0" borderId="0" xfId="11" applyFont="1"/>
    <xf numFmtId="0" fontId="5" fillId="0" borderId="6" xfId="0" applyFont="1" applyBorder="1"/>
    <xf numFmtId="0" fontId="5" fillId="7" borderId="3" xfId="0" applyFont="1" applyFill="1" applyBorder="1"/>
    <xf numFmtId="0" fontId="5" fillId="0" borderId="3" xfId="0" applyFont="1" applyFill="1" applyBorder="1" applyAlignment="1">
      <alignment vertical="top" wrapText="1"/>
    </xf>
    <xf numFmtId="166" fontId="22" fillId="0" borderId="0" xfId="17" applyNumberFormat="1" applyFont="1" applyFill="1" applyBorder="1" applyAlignment="1">
      <alignment horizontal="left" vertical="top"/>
    </xf>
    <xf numFmtId="0" fontId="22" fillId="0" borderId="3" xfId="17" applyFont="1" applyFill="1" applyBorder="1" applyAlignment="1">
      <alignment horizontal="left" vertical="top" wrapText="1"/>
    </xf>
    <xf numFmtId="0" fontId="67" fillId="0" borderId="0" xfId="17" applyFont="1" applyFill="1" applyBorder="1" applyAlignment="1"/>
    <xf numFmtId="0" fontId="67" fillId="0" borderId="2" xfId="17" applyFont="1" applyFill="1" applyBorder="1" applyAlignment="1"/>
    <xf numFmtId="0" fontId="18" fillId="0" borderId="2" xfId="11" applyFont="1" applyFill="1" applyBorder="1" applyAlignment="1">
      <alignment horizontal="left"/>
    </xf>
    <xf numFmtId="0" fontId="79" fillId="0" borderId="0" xfId="17" applyFont="1" applyBorder="1" applyAlignment="1">
      <alignment wrapText="1"/>
    </xf>
    <xf numFmtId="0" fontId="79" fillId="0" borderId="2" xfId="17" applyFont="1" applyBorder="1" applyAlignment="1">
      <alignment wrapText="1"/>
    </xf>
    <xf numFmtId="0" fontId="22" fillId="2" borderId="49" xfId="17" applyFont="1" applyFill="1" applyBorder="1" applyAlignment="1">
      <alignment horizontal="center" vertical="center" wrapText="1"/>
    </xf>
    <xf numFmtId="165" fontId="22" fillId="0" borderId="65" xfId="15" applyNumberFormat="1" applyFont="1" applyFill="1" applyBorder="1" applyAlignment="1">
      <alignment horizontal="center" vertical="center"/>
    </xf>
    <xf numFmtId="0" fontId="10" fillId="0" borderId="21" xfId="17" applyFont="1" applyFill="1" applyBorder="1" applyAlignment="1">
      <alignment wrapText="1"/>
    </xf>
    <xf numFmtId="0" fontId="58" fillId="0" borderId="1" xfId="17" applyFont="1" applyFill="1" applyBorder="1" applyAlignment="1">
      <alignment wrapText="1"/>
    </xf>
    <xf numFmtId="0" fontId="62" fillId="0" borderId="2" xfId="17" applyFont="1" applyFill="1" applyBorder="1" applyAlignment="1">
      <alignment horizontal="center" wrapText="1"/>
    </xf>
    <xf numFmtId="0" fontId="57" fillId="0" borderId="1" xfId="17" quotePrefix="1" applyFont="1" applyFill="1" applyBorder="1" applyAlignment="1">
      <alignment horizontal="right" wrapText="1"/>
    </xf>
    <xf numFmtId="0" fontId="57" fillId="0" borderId="2" xfId="17" applyFont="1" applyFill="1" applyBorder="1" applyAlignment="1">
      <alignment wrapText="1"/>
    </xf>
    <xf numFmtId="0" fontId="57" fillId="0" borderId="1" xfId="17" applyFont="1" applyFill="1" applyBorder="1"/>
    <xf numFmtId="0" fontId="57" fillId="0" borderId="2" xfId="17" applyFont="1" applyFill="1" applyBorder="1"/>
    <xf numFmtId="0" fontId="57" fillId="0" borderId="2" xfId="0" applyFont="1" applyFill="1" applyBorder="1" applyAlignment="1">
      <alignment wrapText="1"/>
    </xf>
    <xf numFmtId="0" fontId="54" fillId="0" borderId="1" xfId="17" applyFont="1" applyFill="1" applyBorder="1"/>
    <xf numFmtId="0" fontId="57" fillId="0" borderId="1" xfId="17" quotePrefix="1" applyFont="1" applyFill="1" applyBorder="1" applyAlignment="1">
      <alignment horizontal="right" vertical="top" wrapText="1"/>
    </xf>
    <xf numFmtId="0" fontId="57" fillId="0" borderId="2" xfId="0" applyFont="1" applyFill="1" applyBorder="1" applyAlignment="1">
      <alignment horizontal="left" vertical="top" wrapText="1"/>
    </xf>
    <xf numFmtId="0" fontId="57" fillId="0" borderId="1" xfId="17" applyFont="1" applyFill="1" applyBorder="1" applyAlignment="1">
      <alignment horizontal="right" vertical="top"/>
    </xf>
    <xf numFmtId="0" fontId="57" fillId="0" borderId="2" xfId="17" applyFont="1" applyFill="1" applyBorder="1" applyAlignment="1">
      <alignment horizontal="left" vertical="top"/>
    </xf>
    <xf numFmtId="0" fontId="57" fillId="0" borderId="23" xfId="17" applyFont="1" applyFill="1" applyBorder="1" applyAlignment="1">
      <alignment horizontal="right" vertical="top" wrapText="1"/>
    </xf>
    <xf numFmtId="0" fontId="57" fillId="0" borderId="12" xfId="0" applyFont="1" applyFill="1" applyBorder="1" applyAlignment="1">
      <alignment horizontal="left" vertical="top" wrapText="1"/>
    </xf>
    <xf numFmtId="0" fontId="18" fillId="0" borderId="14" xfId="18" applyFont="1" applyFill="1" applyBorder="1" applyAlignment="1">
      <alignment horizontal="center" vertical="center" wrapText="1"/>
    </xf>
    <xf numFmtId="0" fontId="18" fillId="0" borderId="36" xfId="18" applyFont="1" applyFill="1" applyBorder="1" applyAlignment="1">
      <alignment horizontal="left" vertical="center" wrapText="1"/>
    </xf>
    <xf numFmtId="0" fontId="18" fillId="0" borderId="15" xfId="18" applyFont="1" applyFill="1" applyBorder="1" applyAlignment="1">
      <alignment horizontal="center" vertical="center" wrapText="1"/>
    </xf>
    <xf numFmtId="0" fontId="18" fillId="0" borderId="36" xfId="10" applyFont="1" applyFill="1" applyBorder="1" applyAlignment="1">
      <alignment horizontal="left" vertical="center" wrapText="1"/>
    </xf>
    <xf numFmtId="0" fontId="18" fillId="0" borderId="24" xfId="18" applyFont="1" applyFill="1" applyBorder="1" applyAlignment="1">
      <alignment horizontal="left" vertical="center" wrapText="1"/>
    </xf>
    <xf numFmtId="0" fontId="18" fillId="0" borderId="36" xfId="10" applyFont="1" applyFill="1" applyBorder="1" applyAlignment="1">
      <alignment vertical="center" wrapText="1"/>
    </xf>
    <xf numFmtId="1" fontId="31" fillId="0" borderId="1" xfId="3" applyNumberFormat="1" applyFont="1" applyFill="1" applyBorder="1" applyAlignment="1">
      <alignment vertical="top" wrapText="1"/>
    </xf>
    <xf numFmtId="1" fontId="31" fillId="0" borderId="2" xfId="3" applyNumberFormat="1" applyFont="1" applyFill="1" applyBorder="1" applyAlignment="1">
      <alignment vertical="top" wrapText="1"/>
    </xf>
    <xf numFmtId="1" fontId="18" fillId="0" borderId="2" xfId="3" applyNumberFormat="1" applyFont="1" applyFill="1" applyBorder="1" applyAlignment="1">
      <alignment horizontal="center"/>
    </xf>
    <xf numFmtId="1" fontId="22" fillId="0" borderId="52" xfId="3" applyNumberFormat="1" applyFont="1" applyFill="1" applyBorder="1" applyAlignment="1">
      <alignment horizontal="center"/>
    </xf>
    <xf numFmtId="0" fontId="18" fillId="0" borderId="8" xfId="0" applyFont="1" applyBorder="1" applyAlignment="1">
      <alignment vertical="top" wrapText="1"/>
    </xf>
    <xf numFmtId="0" fontId="18" fillId="0" borderId="22" xfId="0" applyFont="1" applyBorder="1" applyAlignment="1">
      <alignment vertical="top"/>
    </xf>
    <xf numFmtId="0" fontId="79" fillId="0" borderId="3" xfId="0" applyFont="1" applyBorder="1" applyAlignment="1">
      <alignment vertical="top" wrapText="1"/>
    </xf>
    <xf numFmtId="0" fontId="79" fillId="7" borderId="6" xfId="0" applyFont="1" applyFill="1" applyBorder="1" applyAlignment="1">
      <alignment horizontal="center" vertical="top" wrapText="1"/>
    </xf>
    <xf numFmtId="165" fontId="82" fillId="0" borderId="86" xfId="15" applyNumberFormat="1" applyFont="1" applyFill="1" applyBorder="1" applyAlignment="1">
      <alignment horizontal="center" vertical="center"/>
    </xf>
    <xf numFmtId="165" fontId="82" fillId="0" borderId="87" xfId="15" applyNumberFormat="1" applyFont="1" applyFill="1" applyBorder="1" applyAlignment="1">
      <alignment horizontal="center" vertical="center"/>
    </xf>
    <xf numFmtId="0" fontId="80" fillId="0" borderId="88" xfId="17" applyFont="1" applyFill="1" applyBorder="1" applyAlignment="1">
      <alignment wrapText="1"/>
    </xf>
    <xf numFmtId="0" fontId="79" fillId="0" borderId="3" xfId="17" applyFont="1" applyFill="1" applyBorder="1" applyAlignment="1"/>
    <xf numFmtId="0" fontId="79" fillId="0" borderId="0" xfId="17" applyFont="1" applyFill="1" applyBorder="1" applyAlignment="1">
      <alignment vertical="top" wrapText="1"/>
    </xf>
    <xf numFmtId="166" fontId="82" fillId="0" borderId="0" xfId="17" applyNumberFormat="1" applyFont="1" applyFill="1" applyBorder="1" applyAlignment="1">
      <alignment horizontal="center" vertical="top" wrapText="1"/>
    </xf>
    <xf numFmtId="0" fontId="79" fillId="0" borderId="0" xfId="17" applyFont="1" applyFill="1" applyAlignment="1">
      <alignment horizontal="left" vertical="center"/>
    </xf>
    <xf numFmtId="166" fontId="18" fillId="0" borderId="37" xfId="17" applyNumberFormat="1" applyFont="1" applyFill="1" applyBorder="1" applyAlignment="1">
      <alignment horizontal="left"/>
    </xf>
    <xf numFmtId="0" fontId="10" fillId="0" borderId="1" xfId="10" applyFont="1" applyFill="1" applyBorder="1" applyAlignment="1">
      <alignment vertical="top" wrapText="1"/>
    </xf>
    <xf numFmtId="0" fontId="79" fillId="0" borderId="4" xfId="0" applyFont="1" applyBorder="1" applyAlignment="1">
      <alignment horizontal="left" vertical="center" wrapText="1"/>
    </xf>
    <xf numFmtId="166" fontId="22" fillId="2" borderId="8" xfId="17" applyNumberFormat="1" applyFont="1" applyFill="1" applyBorder="1" applyAlignment="1">
      <alignment horizontal="center" vertical="top"/>
    </xf>
    <xf numFmtId="0" fontId="18" fillId="0" borderId="6" xfId="0" applyFont="1" applyFill="1" applyBorder="1" applyAlignment="1">
      <alignment horizontal="center" vertical="center" wrapText="1"/>
    </xf>
    <xf numFmtId="0" fontId="79" fillId="0" borderId="1" xfId="17" applyFont="1" applyFill="1" applyBorder="1" applyAlignment="1"/>
    <xf numFmtId="0" fontId="82" fillId="0" borderId="0" xfId="17" applyFont="1" applyFill="1" applyBorder="1" applyAlignment="1"/>
    <xf numFmtId="0" fontId="82" fillId="0" borderId="2" xfId="17" applyFont="1" applyFill="1" applyBorder="1" applyAlignment="1"/>
    <xf numFmtId="0" fontId="18" fillId="0" borderId="3" xfId="0" applyFont="1" applyBorder="1" applyAlignment="1">
      <alignment vertical="center"/>
    </xf>
    <xf numFmtId="165" fontId="22" fillId="0" borderId="37" xfId="15" applyNumberFormat="1" applyFont="1" applyFill="1" applyBorder="1" applyAlignment="1">
      <alignment horizontal="center" vertical="center"/>
    </xf>
    <xf numFmtId="0" fontId="83" fillId="0" borderId="3" xfId="0" applyFont="1" applyBorder="1" applyAlignment="1">
      <alignment wrapText="1"/>
    </xf>
    <xf numFmtId="0" fontId="79" fillId="0" borderId="0" xfId="17" applyFont="1" applyFill="1" applyBorder="1" applyAlignment="1">
      <alignment horizontal="left" vertical="top"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left" wrapText="1"/>
    </xf>
    <xf numFmtId="165" fontId="22" fillId="0" borderId="39" xfId="15" applyNumberFormat="1" applyFont="1" applyBorder="1" applyAlignment="1">
      <alignment horizontal="center" vertical="center"/>
    </xf>
    <xf numFmtId="165" fontId="22" fillId="0" borderId="23" xfId="15" applyNumberFormat="1" applyFont="1" applyBorder="1" applyAlignment="1">
      <alignment horizontal="center" vertical="center"/>
    </xf>
    <xf numFmtId="165" fontId="22" fillId="0" borderId="37" xfId="15" applyNumberFormat="1" applyFont="1" applyBorder="1" applyAlignment="1">
      <alignment horizontal="center" vertical="center"/>
    </xf>
    <xf numFmtId="165" fontId="22" fillId="0" borderId="9" xfId="15" applyNumberFormat="1" applyFont="1" applyBorder="1" applyAlignment="1">
      <alignment horizontal="center" vertical="center"/>
    </xf>
    <xf numFmtId="0" fontId="59" fillId="0" borderId="0" xfId="0" applyFont="1"/>
    <xf numFmtId="0" fontId="10" fillId="0" borderId="1" xfId="17" applyFont="1" applyFill="1" applyBorder="1" applyAlignment="1">
      <alignment wrapText="1"/>
    </xf>
    <xf numFmtId="0" fontId="79" fillId="0" borderId="1" xfId="17" applyFont="1" applyFill="1" applyBorder="1"/>
    <xf numFmtId="0" fontId="79" fillId="0" borderId="0" xfId="17" applyFont="1" applyFill="1" applyBorder="1"/>
    <xf numFmtId="0" fontId="79" fillId="0" borderId="0" xfId="0" quotePrefix="1" applyFont="1" applyFill="1" applyBorder="1" applyAlignment="1">
      <alignment vertical="top" wrapText="1"/>
    </xf>
    <xf numFmtId="0" fontId="79" fillId="0" borderId="2" xfId="0" quotePrefix="1" applyFont="1" applyFill="1" applyBorder="1" applyAlignment="1">
      <alignment vertical="top" wrapText="1"/>
    </xf>
    <xf numFmtId="0" fontId="79" fillId="2" borderId="3" xfId="17" applyFont="1" applyFill="1" applyBorder="1" applyAlignment="1">
      <alignment horizontal="center" vertical="center" wrapText="1"/>
    </xf>
    <xf numFmtId="0" fontId="79" fillId="0" borderId="3" xfId="0" applyFont="1" applyFill="1" applyBorder="1"/>
    <xf numFmtId="0" fontId="82" fillId="2" borderId="3" xfId="17" applyFont="1" applyFill="1" applyBorder="1" applyAlignment="1">
      <alignment horizontal="center" vertical="center" wrapText="1"/>
    </xf>
    <xf numFmtId="0" fontId="83" fillId="0" borderId="3" xfId="0" applyFont="1" applyBorder="1"/>
    <xf numFmtId="0" fontId="79" fillId="0" borderId="4" xfId="17" applyFont="1" applyFill="1" applyBorder="1" applyAlignment="1">
      <alignment horizontal="center" vertical="center"/>
    </xf>
    <xf numFmtId="0" fontId="79" fillId="0" borderId="4" xfId="0" quotePrefix="1" applyFont="1" applyFill="1" applyBorder="1" applyAlignment="1">
      <alignment horizontal="center" vertical="center" wrapText="1"/>
    </xf>
    <xf numFmtId="0" fontId="79" fillId="0" borderId="3" xfId="0" applyFont="1" applyFill="1" applyBorder="1" applyAlignment="1">
      <alignment horizontal="left" vertical="center" wrapText="1"/>
    </xf>
    <xf numFmtId="0" fontId="79" fillId="0" borderId="3" xfId="0" applyFont="1" applyFill="1" applyBorder="1" applyAlignment="1">
      <alignment horizontal="center" wrapText="1"/>
    </xf>
    <xf numFmtId="0" fontId="79" fillId="0" borderId="3" xfId="0" applyFont="1" applyFill="1" applyBorder="1" applyAlignment="1">
      <alignment vertical="center" wrapText="1"/>
    </xf>
    <xf numFmtId="0" fontId="79" fillId="0" borderId="3" xfId="17" applyFont="1" applyFill="1" applyBorder="1" applyAlignment="1">
      <alignment wrapText="1"/>
    </xf>
    <xf numFmtId="0" fontId="82" fillId="2" borderId="6" xfId="17" applyFont="1" applyFill="1" applyBorder="1" applyAlignment="1">
      <alignment horizontal="center" vertical="center" wrapText="1"/>
    </xf>
    <xf numFmtId="0" fontId="79" fillId="0" borderId="6" xfId="17" applyFont="1" applyFill="1" applyBorder="1" applyAlignment="1">
      <alignment wrapText="1"/>
    </xf>
    <xf numFmtId="0" fontId="82" fillId="0" borderId="18" xfId="16" applyFont="1" applyFill="1" applyBorder="1" applyAlignment="1">
      <alignment horizontal="center" vertical="center" wrapText="1"/>
    </xf>
    <xf numFmtId="0" fontId="79" fillId="0" borderId="0" xfId="17" applyFont="1" applyFill="1" applyBorder="1" applyAlignment="1">
      <alignment wrapText="1"/>
    </xf>
    <xf numFmtId="1" fontId="22" fillId="0" borderId="53" xfId="3" applyNumberFormat="1" applyFont="1" applyFill="1" applyBorder="1" applyAlignment="1">
      <alignment horizontal="center" wrapText="1"/>
    </xf>
    <xf numFmtId="0" fontId="14" fillId="4" borderId="2" xfId="17" applyFont="1" applyFill="1" applyBorder="1" applyAlignment="1"/>
    <xf numFmtId="0" fontId="14" fillId="4" borderId="10" xfId="17" applyFont="1" applyFill="1" applyBorder="1" applyAlignment="1"/>
    <xf numFmtId="165" fontId="58" fillId="0" borderId="0" xfId="15" applyNumberFormat="1" applyFont="1" applyBorder="1" applyAlignment="1">
      <alignment horizontal="left" vertical="center"/>
    </xf>
    <xf numFmtId="165" fontId="58" fillId="0" borderId="41" xfId="15" applyNumberFormat="1" applyFont="1" applyBorder="1" applyAlignment="1">
      <alignment horizontal="left" vertical="center"/>
    </xf>
    <xf numFmtId="165" fontId="58" fillId="0" borderId="41" xfId="15" applyNumberFormat="1" applyFont="1" applyFill="1" applyBorder="1" applyAlignment="1">
      <alignment horizontal="left" vertical="center"/>
    </xf>
    <xf numFmtId="165" fontId="58" fillId="0" borderId="41" xfId="15" applyNumberFormat="1" applyFont="1" applyBorder="1" applyAlignment="1">
      <alignment horizontal="left" vertical="center" wrapText="1"/>
    </xf>
    <xf numFmtId="0" fontId="5" fillId="0" borderId="0" xfId="13" applyFont="1" applyFill="1"/>
    <xf numFmtId="166" fontId="22" fillId="0" borderId="36" xfId="17" applyNumberFormat="1" applyFont="1" applyFill="1" applyBorder="1" applyAlignment="1">
      <alignment vertical="top"/>
    </xf>
    <xf numFmtId="166" fontId="22" fillId="0" borderId="5" xfId="17" applyNumberFormat="1" applyFont="1" applyFill="1" applyBorder="1" applyAlignment="1">
      <alignment vertical="top"/>
    </xf>
    <xf numFmtId="0" fontId="79" fillId="0" borderId="3" xfId="11" applyFont="1" applyBorder="1" applyAlignment="1">
      <alignment horizontal="left" vertical="top" wrapText="1"/>
    </xf>
    <xf numFmtId="0" fontId="79" fillId="0" borderId="4" xfId="11" applyFont="1" applyBorder="1" applyAlignment="1">
      <alignment horizontal="center" vertical="center" wrapText="1"/>
    </xf>
    <xf numFmtId="0" fontId="79" fillId="0" borderId="5" xfId="11" applyFont="1" applyBorder="1" applyAlignment="1">
      <alignment horizontal="center" vertical="center" wrapText="1"/>
    </xf>
    <xf numFmtId="0" fontId="79" fillId="0" borderId="4" xfId="11" applyFont="1" applyFill="1" applyBorder="1" applyAlignment="1">
      <alignment horizontal="center" vertical="center" wrapText="1"/>
    </xf>
    <xf numFmtId="0" fontId="79" fillId="0" borderId="4" xfId="11" applyFont="1" applyFill="1" applyBorder="1" applyAlignment="1">
      <alignment horizontal="left" vertical="top" wrapText="1"/>
    </xf>
    <xf numFmtId="0" fontId="79" fillId="0" borderId="4" xfId="11" applyFont="1" applyBorder="1" applyAlignment="1">
      <alignment horizontal="left" vertical="top" wrapText="1"/>
    </xf>
    <xf numFmtId="166" fontId="22" fillId="0" borderId="4" xfId="17" applyNumberFormat="1" applyFont="1" applyFill="1" applyBorder="1" applyAlignment="1">
      <alignment vertical="top"/>
    </xf>
    <xf numFmtId="1" fontId="31" fillId="0" borderId="3" xfId="3" applyNumberFormat="1" applyFont="1" applyFill="1" applyBorder="1" applyAlignment="1">
      <alignment vertical="top" wrapText="1"/>
    </xf>
    <xf numFmtId="0" fontId="84" fillId="0" borderId="0" xfId="0" applyFont="1"/>
    <xf numFmtId="0" fontId="59" fillId="0" borderId="0" xfId="0" applyFont="1" applyAlignment="1">
      <alignment vertical="top"/>
    </xf>
    <xf numFmtId="0" fontId="59" fillId="0" borderId="0" xfId="0" applyFont="1" applyAlignment="1">
      <alignment horizontal="left" vertical="top"/>
    </xf>
    <xf numFmtId="0" fontId="59" fillId="0" borderId="0" xfId="0" applyFont="1" applyAlignment="1">
      <alignment horizontal="left" vertical="top" wrapText="1"/>
    </xf>
    <xf numFmtId="0" fontId="59" fillId="0" borderId="4" xfId="0" applyFont="1" applyBorder="1" applyAlignment="1">
      <alignment vertical="top" wrapText="1"/>
    </xf>
    <xf numFmtId="0" fontId="59" fillId="0" borderId="8" xfId="0" applyFont="1" applyBorder="1" applyAlignment="1">
      <alignment vertical="top" wrapText="1"/>
    </xf>
    <xf numFmtId="0" fontId="59" fillId="0" borderId="36" xfId="0" applyFont="1" applyBorder="1" applyAlignment="1">
      <alignment vertical="top"/>
    </xf>
    <xf numFmtId="0" fontId="59" fillId="0" borderId="4" xfId="0" applyFont="1" applyBorder="1"/>
    <xf numFmtId="0" fontId="59" fillId="0" borderId="3" xfId="0" applyFont="1" applyBorder="1" applyAlignment="1">
      <alignment vertical="top"/>
    </xf>
    <xf numFmtId="0" fontId="59" fillId="0" borderId="4" xfId="0" applyFont="1" applyBorder="1" applyAlignment="1">
      <alignment vertical="top"/>
    </xf>
    <xf numFmtId="0" fontId="79" fillId="0" borderId="4" xfId="0" applyFont="1" applyBorder="1" applyAlignment="1">
      <alignment vertical="center" wrapText="1"/>
    </xf>
    <xf numFmtId="166" fontId="79" fillId="0" borderId="9" xfId="17" applyNumberFormat="1" applyFont="1" applyFill="1" applyBorder="1" applyAlignment="1">
      <alignment horizontal="left"/>
    </xf>
    <xf numFmtId="0" fontId="83" fillId="0" borderId="23" xfId="0" applyFont="1" applyFill="1" applyBorder="1"/>
    <xf numFmtId="0" fontId="83" fillId="0" borderId="37" xfId="0" applyFont="1" applyFill="1" applyBorder="1"/>
    <xf numFmtId="0" fontId="83" fillId="0" borderId="22" xfId="0" applyFont="1" applyBorder="1"/>
    <xf numFmtId="0" fontId="83" fillId="0" borderId="36" xfId="0" applyFont="1" applyBorder="1"/>
    <xf numFmtId="0" fontId="59" fillId="0" borderId="36" xfId="0" applyFont="1" applyBorder="1" applyAlignment="1">
      <alignment horizontal="center"/>
    </xf>
    <xf numFmtId="0" fontId="59" fillId="0" borderId="5" xfId="0" applyFont="1" applyBorder="1" applyAlignment="1">
      <alignment horizontal="center"/>
    </xf>
    <xf numFmtId="1" fontId="74" fillId="0" borderId="0" xfId="3" applyNumberFormat="1" applyFont="1" applyFill="1" applyBorder="1" applyAlignment="1">
      <alignment horizontal="left" vertical="center"/>
    </xf>
    <xf numFmtId="0" fontId="59" fillId="0" borderId="3" xfId="0" applyFont="1" applyBorder="1" applyAlignment="1">
      <alignment horizontal="center" vertical="center"/>
    </xf>
    <xf numFmtId="0" fontId="59" fillId="0" borderId="4" xfId="0" applyFont="1" applyBorder="1" applyAlignment="1">
      <alignment horizontal="center" vertical="center"/>
    </xf>
    <xf numFmtId="166" fontId="79" fillId="0" borderId="8" xfId="17" applyNumberFormat="1" applyFont="1" applyFill="1" applyBorder="1" applyAlignment="1">
      <alignment horizontal="left"/>
    </xf>
    <xf numFmtId="0" fontId="79" fillId="0" borderId="3" xfId="17" applyFont="1" applyFill="1" applyBorder="1" applyAlignment="1">
      <alignment horizontal="center" vertical="top" wrapText="1"/>
    </xf>
    <xf numFmtId="0" fontId="79" fillId="0" borderId="3" xfId="17" applyFont="1" applyFill="1" applyBorder="1" applyAlignment="1">
      <alignment horizontal="left"/>
    </xf>
    <xf numFmtId="0" fontId="82" fillId="0" borderId="18" xfId="17" applyFont="1" applyFill="1" applyBorder="1" applyAlignment="1">
      <alignment horizontal="center"/>
    </xf>
    <xf numFmtId="0" fontId="85" fillId="0" borderId="3" xfId="10" applyFont="1" applyBorder="1" applyAlignment="1">
      <alignment horizontal="left" vertical="top" wrapText="1"/>
    </xf>
    <xf numFmtId="0" fontId="85" fillId="0" borderId="3" xfId="10" applyFont="1" applyBorder="1" applyAlignment="1">
      <alignment horizontal="left" vertical="top"/>
    </xf>
    <xf numFmtId="0" fontId="85" fillId="0" borderId="3" xfId="10" applyFont="1" applyBorder="1" applyAlignment="1"/>
    <xf numFmtId="0" fontId="85" fillId="0" borderId="6" xfId="17" applyFont="1" applyFill="1" applyBorder="1" applyAlignment="1"/>
    <xf numFmtId="0" fontId="86" fillId="0" borderId="18" xfId="10" applyFont="1" applyBorder="1" applyAlignment="1">
      <alignment horizontal="center"/>
    </xf>
    <xf numFmtId="0" fontId="79" fillId="0" borderId="0" xfId="17" applyFont="1" applyFill="1" applyAlignment="1">
      <alignment vertical="center" wrapText="1"/>
    </xf>
    <xf numFmtId="166" fontId="82" fillId="0" borderId="0" xfId="17" applyNumberFormat="1" applyFont="1" applyFill="1" applyBorder="1" applyAlignment="1">
      <alignment horizontal="center" vertical="center" wrapText="1"/>
    </xf>
    <xf numFmtId="0" fontId="79" fillId="0" borderId="0" xfId="17" applyFont="1" applyFill="1" applyBorder="1" applyAlignment="1">
      <alignment vertical="center" wrapText="1"/>
    </xf>
    <xf numFmtId="0" fontId="87" fillId="0" borderId="0" xfId="17" applyFont="1" applyFill="1" applyBorder="1" applyAlignment="1">
      <alignment vertical="center"/>
    </xf>
    <xf numFmtId="166" fontId="82" fillId="0" borderId="8" xfId="17" applyNumberFormat="1" applyFont="1" applyFill="1" applyBorder="1" applyAlignment="1">
      <alignment horizontal="left"/>
    </xf>
    <xf numFmtId="0" fontId="85" fillId="0" borderId="3" xfId="10" applyFont="1" applyBorder="1" applyAlignment="1">
      <alignment wrapText="1"/>
    </xf>
    <xf numFmtId="0" fontId="82" fillId="0" borderId="3" xfId="17" applyFont="1" applyFill="1" applyBorder="1" applyAlignment="1">
      <alignment horizontal="center"/>
    </xf>
    <xf numFmtId="166" fontId="82" fillId="0" borderId="37" xfId="0" applyNumberFormat="1" applyFont="1" applyBorder="1" applyAlignment="1">
      <alignment horizontal="left" vertical="top" wrapText="1"/>
    </xf>
    <xf numFmtId="166" fontId="82" fillId="0" borderId="36" xfId="0" applyNumberFormat="1" applyFont="1" applyBorder="1" applyAlignment="1">
      <alignment horizontal="left" vertical="top" wrapText="1"/>
    </xf>
    <xf numFmtId="166" fontId="82" fillId="0" borderId="5" xfId="0" applyNumberFormat="1" applyFont="1" applyBorder="1" applyAlignment="1">
      <alignment horizontal="left" vertical="top" wrapText="1"/>
    </xf>
    <xf numFmtId="0" fontId="79" fillId="0" borderId="24" xfId="0" applyFont="1" applyBorder="1" applyAlignment="1">
      <alignment horizontal="left" vertical="top" wrapText="1"/>
    </xf>
    <xf numFmtId="0" fontId="79" fillId="0" borderId="12" xfId="0" applyFont="1" applyBorder="1" applyAlignment="1">
      <alignment horizontal="left" vertical="top" wrapText="1"/>
    </xf>
    <xf numFmtId="0" fontId="79" fillId="0" borderId="37" xfId="0" applyFont="1" applyBorder="1" applyAlignment="1">
      <alignment horizontal="left" vertical="top" wrapText="1"/>
    </xf>
    <xf numFmtId="0" fontId="79" fillId="0" borderId="36" xfId="0" applyFont="1" applyBorder="1" applyAlignment="1">
      <alignment horizontal="left" vertical="top" wrapText="1"/>
    </xf>
    <xf numFmtId="0" fontId="79" fillId="0" borderId="5" xfId="0" applyFont="1" applyBorder="1" applyAlignment="1">
      <alignment horizontal="left" vertical="top" wrapText="1"/>
    </xf>
    <xf numFmtId="0" fontId="82" fillId="0" borderId="6" xfId="0" applyFont="1" applyBorder="1" applyAlignment="1">
      <alignment horizontal="center" vertical="center" wrapText="1"/>
    </xf>
    <xf numFmtId="166" fontId="22" fillId="0" borderId="8" xfId="0" applyNumberFormat="1" applyFont="1" applyBorder="1" applyAlignment="1">
      <alignment horizontal="center" vertical="top" wrapText="1"/>
    </xf>
    <xf numFmtId="165" fontId="22" fillId="0" borderId="11" xfId="15" applyNumberFormat="1" applyFont="1" applyBorder="1" applyAlignment="1">
      <alignment horizontal="center" vertical="center"/>
    </xf>
    <xf numFmtId="0" fontId="18" fillId="0" borderId="6" xfId="17" applyFont="1" applyFill="1" applyBorder="1" applyAlignment="1">
      <alignment vertical="top" wrapText="1"/>
    </xf>
    <xf numFmtId="166" fontId="82" fillId="0" borderId="8" xfId="17" applyNumberFormat="1" applyFont="1" applyFill="1" applyBorder="1" applyAlignment="1">
      <alignment horizontal="left" wrapText="1"/>
    </xf>
    <xf numFmtId="166" fontId="82" fillId="0" borderId="22" xfId="17" applyNumberFormat="1" applyFont="1" applyFill="1" applyBorder="1" applyAlignment="1">
      <alignment horizontal="left" wrapText="1"/>
    </xf>
    <xf numFmtId="0" fontId="79" fillId="0" borderId="0" xfId="17" applyFont="1" applyFill="1" applyBorder="1" applyAlignment="1">
      <alignment horizontal="center" vertical="top" wrapText="1"/>
    </xf>
    <xf numFmtId="0" fontId="79" fillId="0" borderId="0" xfId="0" applyFont="1" applyFill="1" applyBorder="1" applyAlignment="1">
      <alignment horizontal="left" vertical="center" wrapText="1"/>
    </xf>
    <xf numFmtId="0" fontId="79" fillId="0" borderId="3" xfId="0" applyFont="1" applyFill="1" applyBorder="1" applyAlignment="1">
      <alignment horizontal="left" wrapText="1"/>
    </xf>
    <xf numFmtId="0" fontId="79" fillId="0" borderId="0" xfId="0" applyFont="1" applyFill="1" applyBorder="1" applyAlignment="1">
      <alignment horizontal="left" wrapText="1"/>
    </xf>
    <xf numFmtId="0" fontId="79" fillId="0" borderId="0" xfId="0" applyFont="1" applyFill="1" applyBorder="1" applyAlignment="1">
      <alignment vertical="center" wrapText="1"/>
    </xf>
    <xf numFmtId="0" fontId="82" fillId="0" borderId="44" xfId="16" applyFont="1" applyFill="1" applyBorder="1" applyAlignment="1">
      <alignment horizontal="center" vertical="center" wrapText="1"/>
    </xf>
    <xf numFmtId="0" fontId="59" fillId="0" borderId="4" xfId="0" applyFont="1" applyBorder="1" applyAlignment="1">
      <alignment horizontal="left" vertical="center" wrapText="1"/>
    </xf>
    <xf numFmtId="0" fontId="59" fillId="0" borderId="4" xfId="0" applyFont="1" applyBorder="1" applyAlignment="1">
      <alignment wrapText="1"/>
    </xf>
    <xf numFmtId="0" fontId="59" fillId="0" borderId="4" xfId="0" applyFont="1" applyBorder="1" applyAlignment="1">
      <alignment horizontal="left" vertical="top" wrapText="1"/>
    </xf>
    <xf numFmtId="0" fontId="22" fillId="0" borderId="1" xfId="10" applyFont="1" applyFill="1" applyBorder="1" applyAlignment="1">
      <alignment vertical="top"/>
    </xf>
    <xf numFmtId="166" fontId="22" fillId="2" borderId="8" xfId="17" applyNumberFormat="1" applyFont="1" applyFill="1" applyBorder="1" applyAlignment="1">
      <alignment horizontal="center" vertical="center" wrapText="1"/>
    </xf>
    <xf numFmtId="0" fontId="22" fillId="2" borderId="6" xfId="17" applyFont="1" applyFill="1" applyBorder="1" applyAlignment="1">
      <alignment horizontal="center" vertical="center" textRotation="90" wrapText="1"/>
    </xf>
    <xf numFmtId="0" fontId="22" fillId="9" borderId="10" xfId="0" applyFont="1" applyFill="1" applyBorder="1" applyAlignment="1">
      <alignment horizontal="center" vertical="top"/>
    </xf>
    <xf numFmtId="0" fontId="18" fillId="0" borderId="6" xfId="17" applyFont="1" applyFill="1" applyBorder="1" applyAlignment="1">
      <alignment horizontal="center" vertical="top"/>
    </xf>
    <xf numFmtId="0" fontId="2" fillId="0" borderId="9" xfId="17" applyFont="1" applyFill="1" applyBorder="1" applyAlignment="1">
      <alignment horizontal="left"/>
    </xf>
    <xf numFmtId="0" fontId="2" fillId="0" borderId="37" xfId="17" applyFont="1" applyFill="1" applyBorder="1" applyAlignment="1">
      <alignment horizontal="left"/>
    </xf>
    <xf numFmtId="0" fontId="2" fillId="0" borderId="1" xfId="17" applyFont="1" applyFill="1" applyBorder="1" applyAlignment="1">
      <alignment horizontal="left"/>
    </xf>
    <xf numFmtId="0" fontId="10" fillId="2" borderId="0" xfId="17" applyFont="1" applyFill="1" applyBorder="1" applyAlignment="1">
      <alignment vertical="center"/>
    </xf>
    <xf numFmtId="0" fontId="18" fillId="2" borderId="0" xfId="17" applyFont="1" applyFill="1" applyBorder="1" applyAlignment="1"/>
    <xf numFmtId="0" fontId="19" fillId="0" borderId="6" xfId="0" applyFont="1" applyBorder="1" applyAlignment="1">
      <alignment horizontal="center" vertical="top" wrapText="1"/>
    </xf>
    <xf numFmtId="0" fontId="79" fillId="0" borderId="3" xfId="17" applyFont="1" applyFill="1" applyBorder="1" applyAlignment="1">
      <alignment vertical="top"/>
    </xf>
    <xf numFmtId="166" fontId="79" fillId="2" borderId="3" xfId="17" applyNumberFormat="1" applyFont="1" applyFill="1" applyBorder="1" applyAlignment="1">
      <alignment horizontal="left" vertical="top"/>
    </xf>
    <xf numFmtId="0" fontId="85" fillId="0" borderId="3" xfId="0" applyFont="1" applyBorder="1" applyAlignment="1">
      <alignment vertical="top"/>
    </xf>
    <xf numFmtId="0" fontId="82" fillId="2" borderId="8" xfId="17" applyFont="1" applyFill="1" applyBorder="1" applyAlignment="1">
      <alignment horizontal="center" vertical="top"/>
    </xf>
    <xf numFmtId="0" fontId="18" fillId="0" borderId="37" xfId="0" applyFont="1" applyBorder="1" applyAlignment="1">
      <alignment horizontal="center" vertical="center"/>
    </xf>
    <xf numFmtId="166" fontId="22" fillId="0" borderId="8" xfId="17" applyNumberFormat="1" applyFont="1" applyFill="1" applyBorder="1" applyAlignment="1">
      <alignment horizontal="center" wrapText="1"/>
    </xf>
    <xf numFmtId="166" fontId="82" fillId="0" borderId="8" xfId="17" applyNumberFormat="1" applyFont="1" applyFill="1" applyBorder="1" applyAlignment="1">
      <alignment horizontal="center" wrapText="1"/>
    </xf>
    <xf numFmtId="0" fontId="85" fillId="0" borderId="0" xfId="0" applyFont="1" applyFill="1" applyBorder="1" applyAlignment="1">
      <alignment wrapText="1"/>
    </xf>
    <xf numFmtId="0" fontId="79" fillId="0" borderId="0" xfId="17" applyFont="1" applyFill="1" applyBorder="1" applyAlignment="1">
      <alignment horizontal="center" wrapText="1"/>
    </xf>
    <xf numFmtId="0" fontId="79" fillId="0" borderId="0" xfId="17" applyFont="1" applyFill="1" applyBorder="1" applyAlignment="1">
      <alignment horizontal="left"/>
    </xf>
    <xf numFmtId="0" fontId="79" fillId="0" borderId="0" xfId="17" applyFont="1" applyFill="1" applyBorder="1" applyAlignment="1">
      <alignment horizontal="left" wrapText="1"/>
    </xf>
    <xf numFmtId="0" fontId="82" fillId="0" borderId="18" xfId="17" applyFont="1" applyFill="1" applyBorder="1" applyAlignment="1">
      <alignment horizontal="center" vertical="center" wrapText="1"/>
    </xf>
    <xf numFmtId="0" fontId="61" fillId="0" borderId="3" xfId="17" applyFont="1" applyFill="1" applyBorder="1" applyAlignment="1">
      <alignment vertical="top" wrapText="1"/>
    </xf>
    <xf numFmtId="0" fontId="59" fillId="0" borderId="3" xfId="0" applyFont="1" applyFill="1" applyBorder="1" applyAlignment="1">
      <alignment wrapText="1"/>
    </xf>
    <xf numFmtId="0" fontId="61" fillId="0" borderId="3" xfId="17" applyFont="1" applyFill="1" applyBorder="1" applyAlignment="1">
      <alignment wrapText="1"/>
    </xf>
    <xf numFmtId="0" fontId="61" fillId="0" borderId="3" xfId="0" applyFont="1" applyFill="1" applyBorder="1" applyAlignment="1">
      <alignment horizontal="left" vertical="center" wrapText="1"/>
    </xf>
    <xf numFmtId="0" fontId="61" fillId="0" borderId="3" xfId="17" applyFont="1" applyFill="1" applyBorder="1" applyAlignment="1">
      <alignment horizontal="center" wrapText="1"/>
    </xf>
    <xf numFmtId="0" fontId="61" fillId="0" borderId="6" xfId="17" applyFont="1" applyFill="1" applyBorder="1" applyAlignment="1">
      <alignment horizontal="left" wrapText="1"/>
    </xf>
    <xf numFmtId="0" fontId="67" fillId="0" borderId="44" xfId="17" applyFont="1" applyFill="1" applyBorder="1" applyAlignment="1">
      <alignment horizontal="center" vertical="center" wrapText="1"/>
    </xf>
    <xf numFmtId="0" fontId="79" fillId="0" borderId="0" xfId="17" applyFont="1" applyFill="1" applyBorder="1" applyAlignment="1"/>
    <xf numFmtId="166" fontId="82" fillId="2" borderId="4" xfId="17" applyNumberFormat="1" applyFont="1" applyFill="1" applyBorder="1" applyAlignment="1">
      <alignment horizontal="left" vertical="top"/>
    </xf>
    <xf numFmtId="0" fontId="83" fillId="0" borderId="0" xfId="0" applyFont="1"/>
    <xf numFmtId="0" fontId="82" fillId="0" borderId="18" xfId="0" applyFont="1" applyFill="1" applyBorder="1" applyAlignment="1">
      <alignment horizontal="center" vertical="top" wrapText="1"/>
    </xf>
    <xf numFmtId="166" fontId="79" fillId="0" borderId="37" xfId="17" applyNumberFormat="1" applyFont="1" applyFill="1" applyBorder="1" applyAlignment="1">
      <alignment horizontal="left"/>
    </xf>
    <xf numFmtId="0" fontId="85" fillId="0" borderId="0" xfId="0" applyFont="1"/>
    <xf numFmtId="0" fontId="79" fillId="0" borderId="18" xfId="0" applyFont="1" applyFill="1" applyBorder="1" applyAlignment="1">
      <alignment horizontal="center"/>
    </xf>
    <xf numFmtId="0" fontId="79" fillId="7" borderId="4" xfId="0" applyFont="1" applyFill="1" applyBorder="1" applyAlignment="1">
      <alignment horizontal="center" vertical="top" wrapText="1"/>
    </xf>
    <xf numFmtId="166" fontId="82" fillId="2" borderId="4" xfId="17" applyNumberFormat="1" applyFont="1" applyFill="1" applyBorder="1" applyAlignment="1">
      <alignment horizontal="center" vertical="top"/>
    </xf>
    <xf numFmtId="0" fontId="79" fillId="0" borderId="4" xfId="0" applyFont="1" applyFill="1" applyBorder="1" applyAlignment="1">
      <alignment horizontal="center" vertical="top" wrapText="1"/>
    </xf>
    <xf numFmtId="0" fontId="10" fillId="0" borderId="40" xfId="17" applyFont="1" applyFill="1" applyBorder="1" applyAlignment="1">
      <alignment wrapText="1"/>
    </xf>
    <xf numFmtId="0" fontId="10" fillId="0" borderId="41" xfId="17" applyFont="1" applyFill="1" applyBorder="1" applyAlignment="1">
      <alignment wrapText="1"/>
    </xf>
    <xf numFmtId="0" fontId="10" fillId="0" borderId="38" xfId="17" applyFont="1" applyFill="1" applyBorder="1" applyAlignment="1">
      <alignment wrapText="1"/>
    </xf>
    <xf numFmtId="0" fontId="5" fillId="0" borderId="37" xfId="17" applyFont="1" applyBorder="1" applyAlignment="1"/>
    <xf numFmtId="0" fontId="5" fillId="0" borderId="5" xfId="17" applyFont="1" applyBorder="1" applyAlignment="1"/>
    <xf numFmtId="0" fontId="5" fillId="0" borderId="36" xfId="17" applyFont="1" applyBorder="1" applyAlignment="1"/>
    <xf numFmtId="0" fontId="85" fillId="0" borderId="3" xfId="17" applyFont="1" applyFill="1" applyBorder="1" applyAlignment="1"/>
    <xf numFmtId="0" fontId="79" fillId="4" borderId="3" xfId="17" applyFont="1" applyFill="1" applyBorder="1" applyAlignment="1"/>
    <xf numFmtId="0" fontId="79" fillId="4" borderId="8" xfId="17" applyFont="1" applyFill="1" applyBorder="1" applyAlignment="1"/>
    <xf numFmtId="0" fontId="79" fillId="4" borderId="4" xfId="17" applyFont="1" applyFill="1" applyBorder="1" applyAlignment="1"/>
    <xf numFmtId="0" fontId="22" fillId="0" borderId="51" xfId="17" applyFont="1" applyFill="1" applyBorder="1" applyAlignment="1">
      <alignment horizontal="center"/>
    </xf>
    <xf numFmtId="0" fontId="61" fillId="0" borderId="3" xfId="17" applyFont="1" applyFill="1" applyBorder="1" applyAlignment="1">
      <alignment vertical="center" wrapText="1"/>
    </xf>
    <xf numFmtId="0" fontId="61" fillId="0" borderId="3" xfId="10" applyFont="1" applyBorder="1" applyAlignment="1">
      <alignment vertical="center" wrapText="1"/>
    </xf>
    <xf numFmtId="166" fontId="79" fillId="0" borderId="23" xfId="17" applyNumberFormat="1" applyFont="1" applyBorder="1" applyAlignment="1"/>
    <xf numFmtId="0" fontId="79" fillId="0" borderId="24" xfId="17" applyFont="1" applyBorder="1" applyAlignment="1"/>
    <xf numFmtId="0" fontId="83" fillId="0" borderId="24" xfId="17" applyFont="1" applyBorder="1" applyAlignment="1">
      <alignment horizontal="left"/>
    </xf>
    <xf numFmtId="0" fontId="83" fillId="0" borderId="24" xfId="17" applyFont="1" applyBorder="1" applyAlignment="1"/>
    <xf numFmtId="0" fontId="79" fillId="0" borderId="24" xfId="17" applyFont="1" applyBorder="1" applyAlignment="1">
      <alignment horizontal="right"/>
    </xf>
    <xf numFmtId="0" fontId="79" fillId="0" borderId="12" xfId="17" applyFont="1" applyBorder="1" applyAlignment="1"/>
    <xf numFmtId="166" fontId="82" fillId="0" borderId="9" xfId="17" applyNumberFormat="1" applyFont="1" applyFill="1" applyBorder="1" applyAlignment="1"/>
    <xf numFmtId="0" fontId="83" fillId="0" borderId="1" xfId="17" applyFont="1" applyBorder="1" applyAlignment="1"/>
    <xf numFmtId="0" fontId="83" fillId="0" borderId="0" xfId="17" applyFont="1" applyBorder="1" applyAlignment="1"/>
    <xf numFmtId="0" fontId="83" fillId="0" borderId="2" xfId="17" applyFont="1" applyBorder="1" applyAlignment="1"/>
    <xf numFmtId="0" fontId="79" fillId="0" borderId="0" xfId="0" applyFont="1" applyBorder="1" applyAlignment="1">
      <alignment horizontal="left" vertical="top"/>
    </xf>
    <xf numFmtId="0" fontId="18" fillId="0" borderId="0" xfId="11" applyFont="1" applyFill="1" applyBorder="1" applyAlignment="1">
      <alignment wrapText="1"/>
    </xf>
    <xf numFmtId="0" fontId="18" fillId="0" borderId="24" xfId="11" applyFont="1" applyFill="1" applyBorder="1" applyAlignment="1">
      <alignment wrapText="1"/>
    </xf>
    <xf numFmtId="0" fontId="79" fillId="0" borderId="5" xfId="0" applyFont="1" applyBorder="1" applyAlignment="1">
      <alignment horizontal="left" vertical="center" wrapText="1"/>
    </xf>
    <xf numFmtId="0" fontId="79" fillId="0" borderId="3" xfId="10" applyFont="1" applyBorder="1"/>
    <xf numFmtId="0" fontId="79" fillId="0" borderId="3" xfId="10" applyFont="1" applyBorder="1" applyAlignment="1">
      <alignment vertical="top" wrapText="1"/>
    </xf>
    <xf numFmtId="0" fontId="18" fillId="0" borderId="4" xfId="0" applyFont="1" applyBorder="1" applyAlignment="1">
      <alignment wrapText="1"/>
    </xf>
    <xf numFmtId="0" fontId="82" fillId="2" borderId="8" xfId="17" applyFont="1" applyFill="1" applyBorder="1" applyAlignment="1">
      <alignment horizontal="center" vertical="center"/>
    </xf>
    <xf numFmtId="166" fontId="82" fillId="0" borderId="4" xfId="17" applyNumberFormat="1" applyFont="1" applyFill="1" applyBorder="1" applyAlignment="1">
      <alignment vertical="top"/>
    </xf>
    <xf numFmtId="0" fontId="79" fillId="0" borderId="4" xfId="0" applyFont="1" applyFill="1" applyBorder="1" applyAlignment="1">
      <alignment horizontal="center" vertical="center" wrapText="1"/>
    </xf>
    <xf numFmtId="0" fontId="79" fillId="0" borderId="4" xfId="0" applyFont="1" applyBorder="1"/>
    <xf numFmtId="0" fontId="79" fillId="0" borderId="5" xfId="0" applyFont="1" applyFill="1" applyBorder="1" applyAlignment="1">
      <alignment horizontal="center" vertical="center" wrapText="1"/>
    </xf>
    <xf numFmtId="0" fontId="89" fillId="2" borderId="6" xfId="17" applyFont="1" applyFill="1" applyBorder="1" applyAlignment="1"/>
    <xf numFmtId="0" fontId="89" fillId="2" borderId="4" xfId="17" applyFont="1" applyFill="1" applyBorder="1" applyAlignment="1"/>
    <xf numFmtId="0" fontId="0" fillId="0" borderId="31" xfId="0" applyBorder="1" applyAlignment="1">
      <alignment horizontal="center"/>
    </xf>
    <xf numFmtId="0" fontId="79" fillId="0" borderId="2" xfId="17" applyFont="1" applyFill="1" applyBorder="1" applyAlignment="1">
      <alignment horizontal="left"/>
    </xf>
    <xf numFmtId="0" fontId="87" fillId="4" borderId="12" xfId="17" applyFont="1" applyFill="1" applyBorder="1" applyAlignment="1"/>
    <xf numFmtId="0" fontId="87" fillId="4" borderId="5" xfId="17" applyFont="1" applyFill="1" applyBorder="1" applyAlignment="1"/>
    <xf numFmtId="0" fontId="22" fillId="0" borderId="44" xfId="16" applyFont="1" applyFill="1" applyBorder="1" applyAlignment="1">
      <alignment horizontal="center" vertical="center" wrapText="1"/>
    </xf>
    <xf numFmtId="0" fontId="18" fillId="0" borderId="0" xfId="17" applyFont="1" applyFill="1" applyBorder="1" applyAlignment="1">
      <alignment horizontal="center" wrapText="1"/>
    </xf>
    <xf numFmtId="0" fontId="18" fillId="0" borderId="6" xfId="17" applyFont="1" applyFill="1" applyBorder="1" applyAlignment="1">
      <alignment horizontal="left" wrapText="1"/>
    </xf>
    <xf numFmtId="166" fontId="97" fillId="2" borderId="9" xfId="17" applyNumberFormat="1" applyFont="1" applyFill="1" applyBorder="1" applyAlignment="1">
      <alignment horizontal="left" vertical="top"/>
    </xf>
    <xf numFmtId="0" fontId="98" fillId="2" borderId="0" xfId="17" applyFont="1" applyFill="1" applyBorder="1" applyAlignment="1">
      <alignment vertical="top"/>
    </xf>
    <xf numFmtId="0" fontId="98" fillId="2" borderId="0" xfId="0" applyFont="1" applyFill="1" applyBorder="1" applyAlignment="1">
      <alignment vertical="top"/>
    </xf>
    <xf numFmtId="0" fontId="99" fillId="2" borderId="0" xfId="17" applyFont="1" applyFill="1"/>
    <xf numFmtId="166" fontId="97" fillId="0" borderId="9" xfId="17" applyNumberFormat="1" applyFont="1" applyFill="1" applyBorder="1" applyAlignment="1">
      <alignment horizontal="left" wrapText="1"/>
    </xf>
    <xf numFmtId="0" fontId="98" fillId="0" borderId="0" xfId="0" applyFont="1"/>
    <xf numFmtId="0" fontId="98" fillId="0" borderId="1" xfId="0" applyFont="1" applyBorder="1" applyAlignment="1">
      <alignment vertical="top" wrapText="1"/>
    </xf>
    <xf numFmtId="0" fontId="98" fillId="0" borderId="1" xfId="16" applyFont="1" applyBorder="1"/>
    <xf numFmtId="0" fontId="98" fillId="0" borderId="1" xfId="0" applyFont="1" applyBorder="1"/>
    <xf numFmtId="0" fontId="97" fillId="0" borderId="18" xfId="17" applyFont="1" applyFill="1" applyBorder="1" applyAlignment="1">
      <alignment horizontal="center"/>
    </xf>
    <xf numFmtId="166" fontId="97" fillId="0" borderId="8" xfId="17" applyNumberFormat="1" applyFont="1" applyFill="1" applyBorder="1" applyAlignment="1">
      <alignment horizontal="left" vertical="top"/>
    </xf>
    <xf numFmtId="0" fontId="100" fillId="0" borderId="3" xfId="17" applyFont="1" applyFill="1" applyBorder="1" applyAlignment="1">
      <alignment horizontal="left" vertical="top"/>
    </xf>
    <xf numFmtId="0" fontId="97" fillId="0" borderId="3" xfId="17" applyFont="1" applyFill="1" applyBorder="1" applyAlignment="1">
      <alignment vertical="center" wrapText="1"/>
    </xf>
    <xf numFmtId="0" fontId="97" fillId="0" borderId="6" xfId="17" applyFont="1" applyFill="1" applyBorder="1" applyAlignment="1">
      <alignment vertical="center" wrapText="1"/>
    </xf>
    <xf numFmtId="166" fontId="67" fillId="0" borderId="10" xfId="17" applyNumberFormat="1" applyFont="1" applyFill="1" applyBorder="1" applyAlignment="1">
      <alignment horizontal="center" wrapText="1"/>
    </xf>
    <xf numFmtId="166" fontId="97" fillId="0" borderId="100" xfId="17" applyNumberFormat="1" applyFont="1" applyFill="1" applyBorder="1" applyAlignment="1">
      <alignment horizontal="center" wrapText="1"/>
    </xf>
    <xf numFmtId="166" fontId="97" fillId="0" borderId="101" xfId="17" applyNumberFormat="1" applyFont="1" applyFill="1" applyBorder="1" applyAlignment="1">
      <alignment wrapText="1"/>
    </xf>
    <xf numFmtId="166" fontId="97" fillId="0" borderId="102" xfId="17" applyNumberFormat="1" applyFont="1" applyFill="1" applyBorder="1" applyAlignment="1">
      <alignment wrapText="1"/>
    </xf>
    <xf numFmtId="0" fontId="98" fillId="0" borderId="4" xfId="0" applyFont="1" applyBorder="1" applyAlignment="1">
      <alignment horizontal="center" vertical="center"/>
    </xf>
    <xf numFmtId="0" fontId="98" fillId="0" borderId="37" xfId="0" applyFont="1" applyBorder="1" applyAlignment="1">
      <alignment horizontal="center" vertical="center"/>
    </xf>
    <xf numFmtId="0" fontId="98" fillId="0" borderId="4" xfId="0" quotePrefix="1" applyFont="1" applyFill="1" applyBorder="1" applyAlignment="1">
      <alignment horizontal="center" vertical="center" wrapText="1"/>
    </xf>
    <xf numFmtId="0" fontId="19" fillId="0" borderId="102" xfId="0" applyFont="1" applyFill="1" applyBorder="1" applyAlignment="1">
      <alignment wrapText="1"/>
    </xf>
    <xf numFmtId="0" fontId="79" fillId="0" borderId="103" xfId="17" applyFont="1" applyFill="1" applyBorder="1"/>
    <xf numFmtId="0" fontId="79" fillId="0" borderId="104" xfId="0" quotePrefix="1" applyFont="1" applyFill="1" applyBorder="1" applyAlignment="1">
      <alignment vertical="top" wrapText="1"/>
    </xf>
    <xf numFmtId="0" fontId="83" fillId="0" borderId="1" xfId="0" applyFont="1" applyBorder="1"/>
    <xf numFmtId="166" fontId="22" fillId="0" borderId="10" xfId="17" applyNumberFormat="1" applyFont="1" applyFill="1" applyBorder="1" applyAlignment="1">
      <alignment horizontal="left" vertical="top" wrapText="1"/>
    </xf>
    <xf numFmtId="0" fontId="79" fillId="0" borderId="2" xfId="0" applyFont="1" applyFill="1" applyBorder="1"/>
    <xf numFmtId="0" fontId="79" fillId="0" borderId="6" xfId="17" applyFont="1" applyFill="1" applyBorder="1" applyAlignment="1">
      <alignment horizontal="center" vertical="center"/>
    </xf>
    <xf numFmtId="0" fontId="79" fillId="0" borderId="6" xfId="0" quotePrefix="1" applyFont="1" applyFill="1" applyBorder="1" applyAlignment="1">
      <alignment horizontal="center" vertical="center" wrapText="1"/>
    </xf>
    <xf numFmtId="0" fontId="79" fillId="0" borderId="23" xfId="0" quotePrefix="1" applyFont="1" applyFill="1" applyBorder="1" applyAlignment="1">
      <alignment horizontal="center" vertical="center" wrapText="1"/>
    </xf>
    <xf numFmtId="166" fontId="97" fillId="0" borderId="22" xfId="17" applyNumberFormat="1" applyFont="1" applyFill="1" applyBorder="1" applyAlignment="1">
      <alignment wrapText="1"/>
    </xf>
    <xf numFmtId="0" fontId="102" fillId="0" borderId="22" xfId="0" applyFont="1" applyBorder="1"/>
    <xf numFmtId="0" fontId="102" fillId="0" borderId="10" xfId="0" applyFont="1" applyBorder="1"/>
    <xf numFmtId="166" fontId="97" fillId="0" borderId="8" xfId="17" applyNumberFormat="1" applyFont="1" applyFill="1" applyBorder="1" applyAlignment="1">
      <alignment horizontal="left" vertical="top" wrapText="1"/>
    </xf>
    <xf numFmtId="166" fontId="97" fillId="0" borderId="10" xfId="17" applyNumberFormat="1" applyFont="1" applyFill="1" applyBorder="1" applyAlignment="1">
      <alignment horizontal="left" wrapText="1"/>
    </xf>
    <xf numFmtId="0" fontId="98" fillId="0" borderId="0" xfId="17" applyFont="1" applyFill="1" applyBorder="1" applyAlignment="1">
      <alignment wrapText="1"/>
    </xf>
    <xf numFmtId="0" fontId="98" fillId="0" borderId="103" xfId="0" applyFont="1" applyFill="1" applyBorder="1" applyAlignment="1">
      <alignment vertical="top" wrapText="1"/>
    </xf>
    <xf numFmtId="0" fontId="98" fillId="0" borderId="104" xfId="0" applyFont="1" applyFill="1" applyBorder="1" applyAlignment="1">
      <alignment vertical="top" wrapText="1"/>
    </xf>
    <xf numFmtId="0" fontId="98" fillId="0" borderId="103" xfId="0" applyFont="1" applyFill="1" applyBorder="1" applyAlignment="1">
      <alignment wrapText="1"/>
    </xf>
    <xf numFmtId="0" fontId="98" fillId="0" borderId="104" xfId="0" applyFont="1" applyFill="1" applyBorder="1" applyAlignment="1">
      <alignment wrapText="1"/>
    </xf>
    <xf numFmtId="0" fontId="100" fillId="0" borderId="103" xfId="17" applyFont="1" applyFill="1" applyBorder="1" applyAlignment="1">
      <alignment horizontal="center" wrapText="1"/>
    </xf>
    <xf numFmtId="0" fontId="100" fillId="0" borderId="104" xfId="0" applyFont="1" applyFill="1" applyBorder="1" applyAlignment="1">
      <alignment wrapText="1"/>
    </xf>
    <xf numFmtId="0" fontId="100" fillId="0" borderId="104" xfId="17" applyFont="1" applyFill="1" applyBorder="1" applyAlignment="1">
      <alignment vertical="top" wrapText="1"/>
    </xf>
    <xf numFmtId="0" fontId="100" fillId="0" borderId="103" xfId="17" applyFont="1" applyFill="1" applyBorder="1" applyAlignment="1">
      <alignment horizontal="center"/>
    </xf>
    <xf numFmtId="0" fontId="100" fillId="0" borderId="104" xfId="17" applyFont="1" applyFill="1" applyBorder="1" applyAlignment="1">
      <alignment wrapText="1"/>
    </xf>
    <xf numFmtId="0" fontId="98" fillId="0" borderId="103" xfId="17" applyFont="1" applyFill="1" applyBorder="1" applyAlignment="1">
      <alignment wrapText="1"/>
    </xf>
    <xf numFmtId="0" fontId="100" fillId="0" borderId="103" xfId="17" applyFont="1" applyFill="1" applyBorder="1"/>
    <xf numFmtId="0" fontId="98" fillId="0" borderId="105" xfId="17" applyFont="1" applyFill="1" applyBorder="1" applyAlignment="1">
      <alignment wrapText="1"/>
    </xf>
    <xf numFmtId="0" fontId="98" fillId="0" borderId="107" xfId="17" applyFont="1" applyFill="1" applyBorder="1" applyAlignment="1">
      <alignment wrapText="1"/>
    </xf>
    <xf numFmtId="0" fontId="18" fillId="0" borderId="108" xfId="17" applyFont="1" applyFill="1" applyBorder="1" applyAlignment="1">
      <alignment wrapText="1"/>
    </xf>
    <xf numFmtId="0" fontId="18" fillId="0" borderId="109" xfId="17" applyFont="1" applyFill="1" applyBorder="1" applyAlignment="1">
      <alignment wrapText="1"/>
    </xf>
    <xf numFmtId="0" fontId="97" fillId="0" borderId="104" xfId="17" applyFont="1" applyFill="1" applyBorder="1" applyAlignment="1">
      <alignment horizontal="center" wrapText="1"/>
    </xf>
    <xf numFmtId="0" fontId="100" fillId="0" borderId="104" xfId="17" applyFont="1" applyFill="1" applyBorder="1"/>
    <xf numFmtId="0" fontId="100" fillId="0" borderId="104" xfId="0" applyFont="1" applyFill="1" applyBorder="1" applyAlignment="1">
      <alignment horizontal="left" vertical="top" wrapText="1"/>
    </xf>
    <xf numFmtId="0" fontId="100" fillId="0" borderId="104" xfId="17" applyFont="1" applyFill="1" applyBorder="1" applyAlignment="1">
      <alignment horizontal="left" vertical="top"/>
    </xf>
    <xf numFmtId="0" fontId="100" fillId="0" borderId="107" xfId="0" applyFont="1" applyFill="1" applyBorder="1" applyAlignment="1">
      <alignment horizontal="left" vertical="top" wrapText="1"/>
    </xf>
    <xf numFmtId="0" fontId="100" fillId="0" borderId="0" xfId="17" quotePrefix="1" applyFont="1" applyFill="1" applyBorder="1" applyAlignment="1">
      <alignment horizontal="right" wrapText="1"/>
    </xf>
    <xf numFmtId="0" fontId="100" fillId="0" borderId="0" xfId="17" applyFont="1" applyFill="1" applyBorder="1"/>
    <xf numFmtId="0" fontId="99" fillId="0" borderId="0" xfId="17" applyFont="1" applyFill="1" applyBorder="1"/>
    <xf numFmtId="0" fontId="100" fillId="0" borderId="0" xfId="17" quotePrefix="1" applyFont="1" applyFill="1" applyBorder="1" applyAlignment="1">
      <alignment horizontal="right" vertical="top" wrapText="1"/>
    </xf>
    <xf numFmtId="0" fontId="100" fillId="0" borderId="0" xfId="17" applyFont="1" applyFill="1" applyBorder="1" applyAlignment="1">
      <alignment horizontal="right" vertical="top"/>
    </xf>
    <xf numFmtId="0" fontId="100" fillId="0" borderId="0" xfId="17" applyFont="1" applyFill="1" applyBorder="1" applyAlignment="1">
      <alignment horizontal="right" vertical="top" wrapText="1"/>
    </xf>
    <xf numFmtId="0" fontId="100" fillId="0" borderId="106" xfId="17" applyFont="1" applyFill="1" applyBorder="1" applyAlignment="1">
      <alignment horizontal="right" vertical="top" wrapText="1"/>
    </xf>
    <xf numFmtId="166" fontId="97" fillId="0" borderId="110" xfId="17" applyNumberFormat="1" applyFont="1" applyFill="1" applyBorder="1" applyAlignment="1">
      <alignment horizontal="left" wrapText="1"/>
    </xf>
    <xf numFmtId="0" fontId="97" fillId="0" borderId="112" xfId="17" applyFont="1" applyFill="1" applyBorder="1" applyAlignment="1">
      <alignment vertical="center" wrapText="1"/>
    </xf>
    <xf numFmtId="0" fontId="98" fillId="0" borderId="112" xfId="17" applyFont="1" applyFill="1" applyBorder="1"/>
    <xf numFmtId="0" fontId="97" fillId="0" borderId="111" xfId="17" applyFont="1" applyFill="1" applyBorder="1" applyAlignment="1">
      <alignment vertical="center" wrapText="1"/>
    </xf>
    <xf numFmtId="0" fontId="97" fillId="0" borderId="103" xfId="17" applyFont="1" applyFill="1" applyBorder="1" applyAlignment="1">
      <alignment vertical="center" wrapText="1"/>
    </xf>
    <xf numFmtId="0" fontId="97" fillId="0" borderId="103" xfId="17" applyFont="1" applyFill="1" applyBorder="1" applyAlignment="1">
      <alignment horizontal="center" vertical="center" wrapText="1"/>
    </xf>
    <xf numFmtId="0" fontId="98" fillId="0" borderId="103" xfId="17" applyFont="1" applyFill="1" applyBorder="1"/>
    <xf numFmtId="166" fontId="97" fillId="0" borderId="8" xfId="17" applyNumberFormat="1" applyFont="1" applyFill="1" applyBorder="1" applyAlignment="1">
      <alignment horizontal="left" wrapText="1"/>
    </xf>
    <xf numFmtId="0" fontId="97" fillId="0" borderId="9" xfId="17" applyFont="1" applyFill="1" applyBorder="1" applyAlignment="1">
      <alignment horizontal="center"/>
    </xf>
    <xf numFmtId="166" fontId="63" fillId="0" borderId="8" xfId="17" applyNumberFormat="1" applyFont="1" applyFill="1" applyBorder="1" applyAlignment="1">
      <alignment horizontal="left" wrapText="1"/>
    </xf>
    <xf numFmtId="0" fontId="63" fillId="0" borderId="18" xfId="17" applyFont="1" applyFill="1" applyBorder="1" applyAlignment="1">
      <alignment horizontal="center"/>
    </xf>
    <xf numFmtId="0" fontId="18" fillId="0" borderId="23" xfId="17" applyFont="1" applyFill="1" applyBorder="1" applyAlignment="1">
      <alignment wrapText="1"/>
    </xf>
    <xf numFmtId="166" fontId="22" fillId="0" borderId="110" xfId="17" applyNumberFormat="1" applyFont="1" applyFill="1" applyBorder="1" applyAlignment="1">
      <alignment horizontal="left" wrapText="1"/>
    </xf>
    <xf numFmtId="0" fontId="97" fillId="0" borderId="46" xfId="17" applyFont="1" applyFill="1" applyBorder="1" applyAlignment="1">
      <alignment horizontal="center"/>
    </xf>
    <xf numFmtId="0" fontId="68" fillId="0" borderId="1" xfId="0" applyFont="1" applyFill="1" applyBorder="1" applyAlignment="1">
      <alignment horizontal="left" vertical="top" wrapText="1"/>
    </xf>
    <xf numFmtId="0" fontId="68" fillId="0" borderId="23" xfId="0" applyFont="1" applyFill="1" applyBorder="1" applyAlignment="1">
      <alignment horizontal="left" vertical="top" wrapText="1"/>
    </xf>
    <xf numFmtId="0" fontId="63" fillId="0" borderId="9" xfId="17" applyFont="1" applyFill="1" applyBorder="1" applyAlignment="1">
      <alignment horizontal="center"/>
    </xf>
    <xf numFmtId="0" fontId="98" fillId="0" borderId="3" xfId="17" applyFont="1" applyFill="1" applyBorder="1" applyAlignment="1">
      <alignment vertical="top"/>
    </xf>
    <xf numFmtId="166" fontId="98" fillId="2" borderId="3" xfId="17" applyNumberFormat="1" applyFont="1" applyFill="1" applyBorder="1" applyAlignment="1">
      <alignment horizontal="left" vertical="top"/>
    </xf>
    <xf numFmtId="0" fontId="101" fillId="0" borderId="3" xfId="0" applyFont="1" applyBorder="1" applyAlignment="1">
      <alignment vertical="top"/>
    </xf>
    <xf numFmtId="0" fontId="97" fillId="2" borderId="8" xfId="17" applyFont="1" applyFill="1" applyBorder="1" applyAlignment="1">
      <alignment horizontal="center" vertical="top"/>
    </xf>
    <xf numFmtId="0" fontId="18" fillId="0" borderId="3" xfId="17" applyFont="1" applyFill="1" applyBorder="1" applyAlignment="1">
      <alignment horizontal="left" vertical="top"/>
    </xf>
    <xf numFmtId="0" fontId="79" fillId="0" borderId="3" xfId="17" applyFont="1" applyFill="1" applyBorder="1" applyAlignment="1">
      <alignment horizontal="left" wrapText="1"/>
    </xf>
    <xf numFmtId="0" fontId="2" fillId="0" borderId="116" xfId="17" applyFont="1" applyFill="1" applyBorder="1" applyAlignment="1">
      <alignment horizontal="left"/>
    </xf>
    <xf numFmtId="0" fontId="2" fillId="0" borderId="117" xfId="17" applyFont="1" applyFill="1" applyBorder="1" applyAlignment="1">
      <alignment horizontal="left"/>
    </xf>
    <xf numFmtId="0" fontId="14" fillId="4" borderId="118" xfId="17" applyFont="1" applyFill="1" applyBorder="1" applyAlignment="1"/>
    <xf numFmtId="0" fontId="14" fillId="4" borderId="117" xfId="17" applyFont="1" applyFill="1" applyBorder="1" applyAlignment="1"/>
    <xf numFmtId="0" fontId="14" fillId="4" borderId="112" xfId="17" applyFont="1" applyFill="1" applyBorder="1" applyAlignment="1"/>
    <xf numFmtId="0" fontId="14" fillId="4" borderId="119" xfId="17" applyFont="1" applyFill="1" applyBorder="1" applyAlignment="1"/>
    <xf numFmtId="0" fontId="2" fillId="0" borderId="23" xfId="17" applyFont="1" applyFill="1" applyBorder="1" applyAlignment="1">
      <alignment horizontal="left"/>
    </xf>
    <xf numFmtId="0" fontId="105" fillId="0" borderId="68" xfId="0" applyFont="1" applyBorder="1" applyAlignment="1">
      <alignment vertical="center" wrapText="1"/>
    </xf>
    <xf numFmtId="0" fontId="105" fillId="0" borderId="76" xfId="0" applyFont="1" applyBorder="1" applyAlignment="1">
      <alignment vertical="center" wrapText="1"/>
    </xf>
    <xf numFmtId="0" fontId="98" fillId="0" borderId="71" xfId="0" applyFont="1" applyBorder="1" applyAlignment="1">
      <alignment vertical="center" wrapText="1"/>
    </xf>
    <xf numFmtId="0" fontId="98" fillId="0" borderId="68" xfId="0" applyFont="1" applyBorder="1" applyAlignment="1">
      <alignment vertical="center" wrapText="1"/>
    </xf>
    <xf numFmtId="0" fontId="98" fillId="0" borderId="72" xfId="10" applyFont="1" applyFill="1" applyBorder="1" applyAlignment="1">
      <alignment horizontal="center" vertical="center" wrapText="1"/>
    </xf>
    <xf numFmtId="0" fontId="98" fillId="0" borderId="10" xfId="0" applyFont="1" applyBorder="1" applyAlignment="1">
      <alignment vertical="center" wrapText="1"/>
    </xf>
    <xf numFmtId="0" fontId="98" fillId="0" borderId="70" xfId="0" applyFont="1" applyBorder="1" applyAlignment="1">
      <alignment vertical="center" wrapText="1"/>
    </xf>
    <xf numFmtId="0" fontId="98" fillId="0" borderId="2" xfId="0" applyFont="1" applyBorder="1" applyAlignment="1">
      <alignment vertical="center" wrapText="1"/>
    </xf>
    <xf numFmtId="0" fontId="98" fillId="0" borderId="5" xfId="0" applyFont="1" applyBorder="1" applyAlignment="1">
      <alignment vertical="center" wrapText="1"/>
    </xf>
    <xf numFmtId="166" fontId="79" fillId="0" borderId="120" xfId="17" applyNumberFormat="1" applyFont="1" applyFill="1" applyBorder="1" applyAlignment="1">
      <alignment horizontal="left"/>
    </xf>
    <xf numFmtId="0" fontId="85" fillId="0" borderId="121" xfId="0" applyFont="1" applyBorder="1"/>
    <xf numFmtId="0" fontId="85" fillId="0" borderId="122" xfId="0" applyFont="1" applyBorder="1"/>
    <xf numFmtId="0" fontId="79" fillId="7" borderId="125" xfId="0" applyFont="1" applyFill="1" applyBorder="1" applyAlignment="1">
      <alignment horizontal="center" vertical="top" wrapText="1"/>
    </xf>
    <xf numFmtId="0" fontId="79" fillId="7" borderId="126" xfId="0" applyFont="1" applyFill="1" applyBorder="1" applyAlignment="1">
      <alignment horizontal="center" vertical="top" wrapText="1"/>
    </xf>
    <xf numFmtId="0" fontId="79" fillId="0" borderId="51" xfId="0" applyFont="1" applyFill="1" applyBorder="1" applyAlignment="1">
      <alignment horizontal="center"/>
    </xf>
    <xf numFmtId="166" fontId="98" fillId="0" borderId="9" xfId="17" applyNumberFormat="1" applyFont="1" applyFill="1" applyBorder="1" applyAlignment="1">
      <alignment horizontal="left" wrapText="1"/>
    </xf>
    <xf numFmtId="0" fontId="101" fillId="0" borderId="1" xfId="17" applyFont="1" applyFill="1" applyBorder="1" applyAlignment="1"/>
    <xf numFmtId="0" fontId="97" fillId="0" borderId="6" xfId="17" applyFont="1" applyFill="1" applyBorder="1" applyAlignment="1">
      <alignment horizontal="center"/>
    </xf>
    <xf numFmtId="0" fontId="97" fillId="0" borderId="0" xfId="17" applyFont="1" applyFill="1" applyBorder="1" applyAlignment="1">
      <alignment horizontal="center"/>
    </xf>
    <xf numFmtId="0" fontId="97" fillId="0" borderId="45" xfId="17" applyFont="1" applyFill="1" applyBorder="1" applyAlignment="1">
      <alignment horizontal="center"/>
    </xf>
    <xf numFmtId="0" fontId="101" fillId="0" borderId="3" xfId="17" applyFont="1" applyFill="1" applyBorder="1" applyAlignment="1"/>
    <xf numFmtId="0" fontId="97" fillId="0" borderId="3" xfId="17" applyFont="1" applyFill="1" applyBorder="1" applyAlignment="1">
      <alignment horizontal="center"/>
    </xf>
    <xf numFmtId="1" fontId="22" fillId="0" borderId="51" xfId="3" applyNumberFormat="1" applyFont="1" applyFill="1" applyBorder="1" applyAlignment="1">
      <alignment horizontal="center"/>
    </xf>
    <xf numFmtId="0" fontId="106" fillId="0" borderId="0" xfId="17" applyFont="1" applyFill="1" applyBorder="1" applyAlignment="1"/>
    <xf numFmtId="166" fontId="98" fillId="0" borderId="110" xfId="17" applyNumberFormat="1" applyFont="1" applyFill="1" applyBorder="1" applyAlignment="1">
      <alignment horizontal="left"/>
    </xf>
    <xf numFmtId="0" fontId="101" fillId="0" borderId="112" xfId="17" applyFont="1" applyFill="1" applyBorder="1" applyAlignment="1"/>
    <xf numFmtId="166" fontId="98" fillId="0" borderId="10" xfId="17" applyNumberFormat="1" applyFont="1" applyFill="1" applyBorder="1" applyAlignment="1">
      <alignment horizontal="left"/>
    </xf>
    <xf numFmtId="0" fontId="98" fillId="0" borderId="0" xfId="17" applyFont="1" applyFill="1" applyBorder="1" applyAlignment="1"/>
    <xf numFmtId="166" fontId="98" fillId="0" borderId="8" xfId="17" applyNumberFormat="1" applyFont="1" applyFill="1" applyBorder="1" applyAlignment="1">
      <alignment horizontal="left"/>
    </xf>
    <xf numFmtId="0" fontId="97" fillId="0" borderId="3" xfId="10" applyFont="1" applyBorder="1" applyAlignment="1">
      <alignment horizontal="center"/>
    </xf>
    <xf numFmtId="0" fontId="98" fillId="0" borderId="3" xfId="10" applyFont="1" applyBorder="1" applyAlignment="1"/>
    <xf numFmtId="0" fontId="98" fillId="0" borderId="3" xfId="10" applyFont="1" applyBorder="1" applyAlignment="1">
      <alignment wrapText="1"/>
    </xf>
    <xf numFmtId="0" fontId="98" fillId="0" borderId="6" xfId="17" applyFont="1" applyFill="1" applyBorder="1" applyAlignment="1"/>
    <xf numFmtId="0" fontId="22" fillId="0" borderId="2" xfId="17" applyFont="1" applyFill="1" applyBorder="1" applyAlignment="1">
      <alignment horizontal="center"/>
    </xf>
    <xf numFmtId="0" fontId="18" fillId="0" borderId="2" xfId="17" applyFont="1" applyFill="1" applyBorder="1" applyAlignment="1">
      <alignment horizontal="center"/>
    </xf>
    <xf numFmtId="0" fontId="98" fillId="0" borderId="3" xfId="17" applyFont="1" applyFill="1" applyBorder="1" applyAlignment="1">
      <alignment vertical="center" wrapText="1"/>
    </xf>
    <xf numFmtId="0" fontId="2" fillId="0" borderId="111" xfId="17" applyFont="1" applyFill="1" applyBorder="1" applyAlignment="1"/>
    <xf numFmtId="166" fontId="18" fillId="0" borderId="100" xfId="17" applyNumberFormat="1" applyFont="1" applyFill="1" applyBorder="1" applyAlignment="1">
      <alignment horizontal="left"/>
    </xf>
    <xf numFmtId="0" fontId="18" fillId="0" borderId="103" xfId="17" applyFont="1" applyFill="1" applyBorder="1" applyAlignment="1"/>
    <xf numFmtId="0" fontId="19" fillId="0" borderId="103" xfId="17" applyFont="1" applyFill="1" applyBorder="1" applyAlignment="1"/>
    <xf numFmtId="0" fontId="19" fillId="0" borderId="105" xfId="17" applyFont="1" applyFill="1" applyBorder="1" applyAlignment="1"/>
    <xf numFmtId="166" fontId="98" fillId="0" borderId="100" xfId="17" applyNumberFormat="1" applyFont="1" applyFill="1" applyBorder="1" applyAlignment="1">
      <alignment horizontal="left"/>
    </xf>
    <xf numFmtId="0" fontId="98" fillId="0" borderId="103" xfId="17" applyFont="1" applyFill="1" applyBorder="1" applyAlignment="1">
      <alignment horizontal="left" vertical="top"/>
    </xf>
    <xf numFmtId="0" fontId="106" fillId="0" borderId="103" xfId="17" applyFont="1" applyFill="1" applyBorder="1" applyAlignment="1"/>
    <xf numFmtId="0" fontId="98" fillId="0" borderId="103" xfId="10" applyFont="1" applyBorder="1" applyAlignment="1">
      <alignment horizontal="center"/>
    </xf>
    <xf numFmtId="0" fontId="101" fillId="0" borderId="103" xfId="17" applyFont="1" applyFill="1" applyBorder="1" applyAlignment="1"/>
    <xf numFmtId="1" fontId="97" fillId="0" borderId="103" xfId="3" applyNumberFormat="1" applyFont="1" applyFill="1" applyBorder="1" applyAlignment="1">
      <alignment horizontal="center"/>
    </xf>
    <xf numFmtId="1" fontId="97" fillId="0" borderId="105" xfId="3" applyNumberFormat="1" applyFont="1" applyFill="1" applyBorder="1" applyAlignment="1">
      <alignment horizontal="center"/>
    </xf>
    <xf numFmtId="0" fontId="18" fillId="0" borderId="105" xfId="17" applyFont="1" applyFill="1" applyBorder="1" applyAlignment="1">
      <alignment horizontal="left" vertical="top"/>
    </xf>
    <xf numFmtId="1" fontId="18" fillId="0" borderId="103" xfId="3" applyNumberFormat="1" applyFont="1" applyFill="1" applyBorder="1" applyAlignment="1">
      <alignment horizontal="left"/>
    </xf>
    <xf numFmtId="0" fontId="18" fillId="0" borderId="103" xfId="17" applyFont="1" applyFill="1" applyBorder="1" applyAlignment="1">
      <alignment vertical="top" wrapText="1"/>
    </xf>
    <xf numFmtId="0" fontId="22" fillId="0" borderId="103" xfId="17" applyFont="1" applyFill="1" applyBorder="1" applyAlignment="1">
      <alignment horizontal="center"/>
    </xf>
    <xf numFmtId="1" fontId="18" fillId="0" borderId="0" xfId="3" applyNumberFormat="1" applyFont="1" applyFill="1" applyBorder="1" applyAlignment="1">
      <alignment horizontal="center"/>
    </xf>
    <xf numFmtId="1" fontId="97" fillId="0" borderId="54" xfId="3" applyNumberFormat="1" applyFont="1" applyFill="1" applyBorder="1" applyAlignment="1">
      <alignment horizontal="center"/>
    </xf>
    <xf numFmtId="0" fontId="98" fillId="0" borderId="112" xfId="17" applyFont="1" applyFill="1" applyBorder="1" applyAlignment="1"/>
    <xf numFmtId="0" fontId="98" fillId="0" borderId="112" xfId="17" applyFont="1" applyFill="1" applyBorder="1" applyAlignment="1">
      <alignment vertical="center" wrapText="1"/>
    </xf>
    <xf numFmtId="1" fontId="98" fillId="0" borderId="112" xfId="3" applyNumberFormat="1" applyFont="1" applyFill="1" applyBorder="1" applyAlignment="1">
      <alignment horizontal="left"/>
    </xf>
    <xf numFmtId="0" fontId="101" fillId="0" borderId="112" xfId="10" applyFont="1" applyBorder="1" applyAlignment="1"/>
    <xf numFmtId="0" fontId="98" fillId="0" borderId="112" xfId="17" applyFont="1" applyFill="1" applyBorder="1" applyAlignment="1">
      <alignment horizontal="center"/>
    </xf>
    <xf numFmtId="0" fontId="101" fillId="0" borderId="111" xfId="17" applyFont="1" applyFill="1" applyBorder="1" applyAlignment="1"/>
    <xf numFmtId="0" fontId="98" fillId="0" borderId="3" xfId="0" applyFont="1" applyBorder="1" applyAlignment="1">
      <alignment vertical="top" wrapText="1"/>
    </xf>
    <xf numFmtId="0" fontId="98" fillId="0" borderId="3" xfId="10" applyFont="1" applyBorder="1"/>
    <xf numFmtId="0" fontId="98" fillId="0" borderId="3" xfId="0" applyFont="1" applyBorder="1" applyAlignment="1">
      <alignment vertical="top"/>
    </xf>
    <xf numFmtId="0" fontId="98" fillId="0" borderId="3" xfId="10" applyFont="1" applyBorder="1" applyAlignment="1">
      <alignment vertical="top" wrapText="1"/>
    </xf>
    <xf numFmtId="0" fontId="98" fillId="0" borderId="3" xfId="17" applyFont="1" applyFill="1" applyBorder="1" applyAlignment="1"/>
    <xf numFmtId="0" fontId="98" fillId="2" borderId="6" xfId="17" applyFont="1" applyFill="1" applyBorder="1" applyAlignment="1">
      <alignment horizontal="left" vertical="top" wrapText="1"/>
    </xf>
    <xf numFmtId="166" fontId="98" fillId="0" borderId="9" xfId="17" applyNumberFormat="1" applyFont="1" applyFill="1" applyBorder="1" applyAlignment="1">
      <alignment horizontal="left"/>
    </xf>
    <xf numFmtId="0" fontId="98" fillId="0" borderId="1" xfId="10" applyFont="1" applyFill="1" applyBorder="1" applyAlignment="1">
      <alignment vertical="top" wrapText="1"/>
    </xf>
    <xf numFmtId="0" fontId="97" fillId="0" borderId="2" xfId="17" applyFont="1" applyFill="1" applyBorder="1" applyAlignment="1">
      <alignment vertical="top" wrapText="1"/>
    </xf>
    <xf numFmtId="0" fontId="97" fillId="0" borderId="23" xfId="10" applyFont="1" applyFill="1" applyBorder="1" applyAlignment="1">
      <alignment horizontal="center" vertical="top" wrapText="1"/>
    </xf>
    <xf numFmtId="1" fontId="97" fillId="0" borderId="51" xfId="3" applyNumberFormat="1" applyFont="1" applyFill="1" applyBorder="1" applyAlignment="1">
      <alignment horizontal="center"/>
    </xf>
    <xf numFmtId="0" fontId="97" fillId="0" borderId="24" xfId="10" applyFont="1" applyFill="1" applyBorder="1" applyAlignment="1">
      <alignment horizontal="center" vertical="top" wrapText="1"/>
    </xf>
    <xf numFmtId="166" fontId="2" fillId="0" borderId="0" xfId="17" applyNumberFormat="1" applyFont="1" applyFill="1" applyBorder="1" applyAlignment="1">
      <alignment vertical="center"/>
    </xf>
    <xf numFmtId="166" fontId="98" fillId="0" borderId="22" xfId="17" applyNumberFormat="1" applyFont="1" applyFill="1" applyBorder="1" applyAlignment="1">
      <alignment horizontal="left"/>
    </xf>
    <xf numFmtId="0" fontId="98" fillId="0" borderId="3" xfId="10" applyFont="1" applyFill="1" applyBorder="1" applyAlignment="1">
      <alignment vertical="top" wrapText="1"/>
    </xf>
    <xf numFmtId="0" fontId="98" fillId="0" borderId="1" xfId="17" applyFont="1" applyFill="1" applyBorder="1" applyAlignment="1"/>
    <xf numFmtId="0" fontId="98" fillId="0" borderId="1" xfId="17" applyFont="1" applyFill="1" applyBorder="1" applyAlignment="1">
      <alignment vertical="top" wrapText="1"/>
    </xf>
    <xf numFmtId="0" fontId="106" fillId="0" borderId="0" xfId="17" applyFont="1" applyFill="1" applyBorder="1"/>
    <xf numFmtId="0" fontId="98" fillId="0" borderId="3" xfId="17" applyFont="1" applyFill="1" applyBorder="1" applyAlignment="1">
      <alignment vertical="top" wrapText="1"/>
    </xf>
    <xf numFmtId="0" fontId="98" fillId="0" borderId="2" xfId="17" applyFont="1" applyFill="1" applyBorder="1" applyAlignment="1"/>
    <xf numFmtId="0" fontId="98" fillId="0" borderId="3" xfId="17" applyFont="1" applyFill="1" applyBorder="1" applyAlignment="1">
      <alignment wrapText="1"/>
    </xf>
    <xf numFmtId="0" fontId="98" fillId="0" borderId="3" xfId="17" applyFont="1" applyFill="1" applyBorder="1" applyAlignment="1">
      <alignment horizontal="left"/>
    </xf>
    <xf numFmtId="0" fontId="97" fillId="0" borderId="1" xfId="17" applyFont="1" applyFill="1" applyBorder="1" applyAlignment="1">
      <alignment horizontal="center" vertical="top" wrapText="1"/>
    </xf>
    <xf numFmtId="0" fontId="98" fillId="0" borderId="6" xfId="17" applyFont="1" applyFill="1" applyBorder="1" applyAlignment="1">
      <alignment horizontal="left"/>
    </xf>
    <xf numFmtId="1" fontId="97" fillId="0" borderId="18" xfId="3" applyNumberFormat="1" applyFont="1" applyFill="1" applyBorder="1" applyAlignment="1">
      <alignment horizontal="center"/>
    </xf>
    <xf numFmtId="1" fontId="97" fillId="0" borderId="44" xfId="3" applyNumberFormat="1" applyFont="1" applyFill="1" applyBorder="1" applyAlignment="1">
      <alignment horizontal="center"/>
    </xf>
    <xf numFmtId="0" fontId="97" fillId="0" borderId="45" xfId="17" applyFont="1" applyFill="1" applyBorder="1" applyAlignment="1">
      <alignment horizontal="center" vertical="top" wrapText="1"/>
    </xf>
    <xf numFmtId="1" fontId="98" fillId="0" borderId="112" xfId="3" applyNumberFormat="1" applyFont="1" applyFill="1" applyBorder="1" applyAlignment="1">
      <alignment horizontal="center"/>
    </xf>
    <xf numFmtId="0" fontId="100" fillId="0" borderId="1" xfId="17" applyFont="1" applyFill="1" applyBorder="1" applyAlignment="1">
      <alignment horizontal="left"/>
    </xf>
    <xf numFmtId="0" fontId="98" fillId="0" borderId="1" xfId="17" applyFont="1" applyFill="1" applyBorder="1" applyAlignment="1">
      <alignment horizontal="left"/>
    </xf>
    <xf numFmtId="0" fontId="98" fillId="0" borderId="1" xfId="17" applyFont="1" applyFill="1" applyBorder="1" applyAlignment="1">
      <alignment horizontal="left" wrapText="1"/>
    </xf>
    <xf numFmtId="1" fontId="107" fillId="0" borderId="112" xfId="3" applyNumberFormat="1" applyFont="1" applyFill="1" applyBorder="1" applyAlignment="1">
      <alignment horizontal="center"/>
    </xf>
    <xf numFmtId="0" fontId="98" fillId="0" borderId="112" xfId="17" applyFont="1" applyFill="1" applyBorder="1" applyAlignment="1">
      <alignment vertical="top"/>
    </xf>
    <xf numFmtId="0" fontId="97" fillId="0" borderId="44" xfId="17" applyFont="1" applyFill="1" applyBorder="1" applyAlignment="1">
      <alignment horizontal="center"/>
    </xf>
    <xf numFmtId="0" fontId="97" fillId="0" borderId="115" xfId="17" applyFont="1" applyFill="1" applyBorder="1" applyAlignment="1">
      <alignment horizontal="center"/>
    </xf>
    <xf numFmtId="166" fontId="97" fillId="2" borderId="37" xfId="17" applyNumberFormat="1" applyFont="1" applyFill="1" applyBorder="1" applyAlignment="1">
      <alignment horizontal="left" vertical="top"/>
    </xf>
    <xf numFmtId="0" fontId="98" fillId="0" borderId="3" xfId="0" applyFont="1" applyFill="1" applyBorder="1" applyAlignment="1">
      <alignment horizontal="left" vertical="center" wrapText="1"/>
    </xf>
    <xf numFmtId="0" fontId="99" fillId="0" borderId="3" xfId="0" applyFont="1" applyFill="1" applyBorder="1"/>
    <xf numFmtId="0" fontId="97" fillId="0" borderId="50" xfId="0" applyFont="1" applyFill="1" applyBorder="1" applyAlignment="1">
      <alignment horizontal="center" vertical="top" wrapText="1"/>
    </xf>
    <xf numFmtId="0" fontId="97" fillId="0" borderId="0" xfId="17" applyFont="1" applyFill="1" applyBorder="1" applyAlignment="1">
      <alignment vertical="center"/>
    </xf>
    <xf numFmtId="0" fontId="98" fillId="0" borderId="41" xfId="0" applyFont="1" applyBorder="1" applyAlignment="1">
      <alignment vertical="center" wrapText="1"/>
    </xf>
    <xf numFmtId="0" fontId="98" fillId="0" borderId="41" xfId="0" applyFont="1" applyBorder="1" applyAlignment="1">
      <alignment horizontal="left" vertical="center" wrapText="1"/>
    </xf>
    <xf numFmtId="0" fontId="108" fillId="0" borderId="4" xfId="10" applyFont="1" applyFill="1" applyBorder="1" applyAlignment="1">
      <alignment horizontal="center"/>
    </xf>
    <xf numFmtId="0" fontId="108" fillId="0" borderId="4" xfId="10" applyFont="1" applyFill="1" applyBorder="1"/>
    <xf numFmtId="0" fontId="102" fillId="0" borderId="0" xfId="0" applyFont="1"/>
    <xf numFmtId="0" fontId="13" fillId="0" borderId="5" xfId="10" applyFont="1" applyFill="1" applyBorder="1" applyAlignment="1">
      <alignment horizontal="center"/>
    </xf>
    <xf numFmtId="0" fontId="22" fillId="0" borderId="131" xfId="0" applyFont="1" applyBorder="1" applyAlignment="1">
      <alignment vertical="center" wrapText="1"/>
    </xf>
    <xf numFmtId="0" fontId="98" fillId="0" borderId="130" xfId="0" applyFont="1" applyBorder="1" applyAlignment="1">
      <alignment horizontal="left" vertical="center" wrapText="1"/>
    </xf>
    <xf numFmtId="0" fontId="109" fillId="0" borderId="130" xfId="0" applyFont="1" applyBorder="1"/>
    <xf numFmtId="0" fontId="109" fillId="0" borderId="132" xfId="0" applyFont="1" applyBorder="1"/>
    <xf numFmtId="0" fontId="98" fillId="0" borderId="15" xfId="10" applyFont="1" applyFill="1" applyBorder="1" applyAlignment="1">
      <alignment horizontal="center" vertical="center" wrapText="1"/>
    </xf>
    <xf numFmtId="0" fontId="98" fillId="0" borderId="4" xfId="0" applyFont="1" applyBorder="1" applyAlignment="1">
      <alignment horizontal="left" vertical="center" wrapText="1"/>
    </xf>
    <xf numFmtId="0" fontId="98" fillId="0" borderId="4" xfId="0" applyFont="1" applyBorder="1"/>
    <xf numFmtId="0" fontId="98" fillId="0" borderId="5" xfId="0" applyFont="1" applyBorder="1" applyAlignment="1">
      <alignment horizontal="left" vertical="center" wrapText="1"/>
    </xf>
    <xf numFmtId="166" fontId="98" fillId="0" borderId="8" xfId="17" applyNumberFormat="1" applyFont="1" applyBorder="1" applyAlignment="1">
      <alignment horizontal="left" vertical="top"/>
    </xf>
    <xf numFmtId="0" fontId="98" fillId="0" borderId="1" xfId="0" applyFont="1" applyBorder="1" applyAlignment="1">
      <alignment horizontal="center" vertical="top" wrapText="1"/>
    </xf>
    <xf numFmtId="0" fontId="97" fillId="0" borderId="1" xfId="0" applyFont="1" applyBorder="1" applyAlignment="1">
      <alignment vertical="center" wrapText="1"/>
    </xf>
    <xf numFmtId="166" fontId="22" fillId="0" borderId="100" xfId="17" applyNumberFormat="1" applyFont="1" applyFill="1" applyBorder="1" applyAlignment="1"/>
    <xf numFmtId="166" fontId="22" fillId="0" borderId="103" xfId="17" applyNumberFormat="1" applyFont="1" applyFill="1" applyBorder="1" applyAlignment="1"/>
    <xf numFmtId="0" fontId="18" fillId="0" borderId="103" xfId="17" quotePrefix="1" applyFont="1" applyFill="1" applyBorder="1" applyAlignment="1">
      <alignment horizontal="center"/>
    </xf>
    <xf numFmtId="0" fontId="18" fillId="0" borderId="104" xfId="17" applyFont="1" applyFill="1" applyBorder="1" applyAlignment="1"/>
    <xf numFmtId="0" fontId="18" fillId="0" borderId="103" xfId="17" applyFont="1" applyFill="1" applyBorder="1" applyAlignment="1">
      <alignment horizontal="center"/>
    </xf>
    <xf numFmtId="0" fontId="98" fillId="0" borderId="103" xfId="17" applyFont="1" applyFill="1" applyBorder="1" applyAlignment="1">
      <alignment horizontal="center"/>
    </xf>
    <xf numFmtId="0" fontId="98" fillId="0" borderId="0" xfId="11" applyFont="1" applyFill="1" applyBorder="1"/>
    <xf numFmtId="0" fontId="109" fillId="0" borderId="0" xfId="17" applyFont="1" applyBorder="1" applyAlignment="1"/>
    <xf numFmtId="0" fontId="5" fillId="0" borderId="104" xfId="17" applyFont="1" applyBorder="1" applyAlignment="1"/>
    <xf numFmtId="0" fontId="98" fillId="0" borderId="100" xfId="17" applyFont="1" applyFill="1" applyBorder="1" applyAlignment="1">
      <alignment horizontal="center"/>
    </xf>
    <xf numFmtId="0" fontId="98" fillId="0" borderId="101" xfId="11" applyFont="1" applyFill="1" applyBorder="1"/>
    <xf numFmtId="0" fontId="109" fillId="0" borderId="101" xfId="17" applyFont="1" applyBorder="1" applyAlignment="1"/>
    <xf numFmtId="0" fontId="110" fillId="0" borderId="101" xfId="17" applyFont="1" applyBorder="1" applyAlignment="1"/>
    <xf numFmtId="0" fontId="110" fillId="0" borderId="101" xfId="17" applyFont="1" applyBorder="1" applyAlignment="1">
      <alignment horizontal="left"/>
    </xf>
    <xf numFmtId="0" fontId="109" fillId="0" borderId="102" xfId="17" applyFont="1" applyBorder="1" applyAlignment="1"/>
    <xf numFmtId="0" fontId="110" fillId="0" borderId="0" xfId="17" applyFont="1" applyBorder="1" applyAlignment="1"/>
    <xf numFmtId="0" fontId="110" fillId="0" borderId="0" xfId="17" applyFont="1" applyBorder="1" applyAlignment="1">
      <alignment horizontal="left"/>
    </xf>
    <xf numFmtId="0" fontId="109" fillId="0" borderId="104" xfId="17" applyFont="1" applyBorder="1" applyAlignment="1"/>
    <xf numFmtId="0" fontId="98" fillId="0" borderId="105" xfId="17" applyFont="1" applyFill="1" applyBorder="1" applyAlignment="1">
      <alignment horizontal="center"/>
    </xf>
    <xf numFmtId="0" fontId="98" fillId="0" borderId="106" xfId="11" applyFont="1" applyFill="1" applyBorder="1"/>
    <xf numFmtId="0" fontId="109" fillId="0" borderId="106" xfId="17" applyFont="1" applyBorder="1" applyAlignment="1"/>
    <xf numFmtId="0" fontId="110" fillId="0" borderId="106" xfId="17" applyFont="1" applyBorder="1" applyAlignment="1"/>
    <xf numFmtId="0" fontId="110" fillId="0" borderId="106" xfId="17" applyFont="1" applyBorder="1" applyAlignment="1">
      <alignment horizontal="left"/>
    </xf>
    <xf numFmtId="0" fontId="109" fillId="0" borderId="107" xfId="17" applyFont="1" applyBorder="1" applyAlignment="1"/>
    <xf numFmtId="0" fontId="98" fillId="0" borderId="22" xfId="17" applyFont="1" applyBorder="1" applyAlignment="1"/>
    <xf numFmtId="0" fontId="98" fillId="0" borderId="22" xfId="17" applyFont="1" applyFill="1" applyBorder="1" applyAlignment="1"/>
    <xf numFmtId="0" fontId="98" fillId="0" borderId="22" xfId="11" applyFont="1" applyBorder="1" applyAlignment="1">
      <alignment wrapText="1"/>
    </xf>
    <xf numFmtId="0" fontId="98" fillId="0" borderId="10" xfId="11" applyFont="1" applyBorder="1" applyAlignment="1">
      <alignment wrapText="1"/>
    </xf>
    <xf numFmtId="0" fontId="98" fillId="0" borderId="1" xfId="17" applyFont="1" applyBorder="1" applyAlignment="1"/>
    <xf numFmtId="0" fontId="98" fillId="0" borderId="0" xfId="17" applyFont="1" applyBorder="1" applyAlignment="1"/>
    <xf numFmtId="0" fontId="98" fillId="0" borderId="0" xfId="11" applyFont="1" applyBorder="1" applyAlignment="1">
      <alignment wrapText="1"/>
    </xf>
    <xf numFmtId="0" fontId="98" fillId="0" borderId="2" xfId="11" applyFont="1" applyBorder="1" applyAlignment="1">
      <alignment wrapText="1"/>
    </xf>
    <xf numFmtId="0" fontId="100" fillId="0" borderId="0" xfId="17" applyFont="1" applyBorder="1" applyAlignment="1"/>
    <xf numFmtId="166" fontId="97" fillId="0" borderId="23" xfId="17" applyNumberFormat="1" applyFont="1" applyFill="1" applyBorder="1" applyAlignment="1">
      <alignment horizontal="left"/>
    </xf>
    <xf numFmtId="0" fontId="98" fillId="0" borderId="24" xfId="17" applyFont="1" applyFill="1" applyBorder="1" applyAlignment="1">
      <alignment horizontal="left" vertical="top"/>
    </xf>
    <xf numFmtId="0" fontId="98" fillId="0" borderId="24" xfId="17" applyFont="1" applyBorder="1" applyAlignment="1">
      <alignment horizontal="left" vertical="top"/>
    </xf>
    <xf numFmtId="0" fontId="98" fillId="0" borderId="12" xfId="17" applyFont="1" applyFill="1" applyBorder="1" applyAlignment="1">
      <alignment horizontal="left" vertical="top"/>
    </xf>
    <xf numFmtId="0" fontId="98" fillId="0" borderId="3" xfId="10" applyFont="1" applyBorder="1" applyAlignment="1">
      <alignment vertical="center"/>
    </xf>
    <xf numFmtId="0" fontId="14" fillId="4" borderId="129" xfId="17" applyFont="1" applyFill="1" applyBorder="1" applyAlignment="1"/>
    <xf numFmtId="1" fontId="22" fillId="0" borderId="133" xfId="3" applyNumberFormat="1" applyFont="1" applyFill="1" applyBorder="1" applyAlignment="1">
      <alignment horizontal="center"/>
    </xf>
    <xf numFmtId="0" fontId="98" fillId="0" borderId="21" xfId="0" applyFont="1" applyBorder="1" applyAlignment="1">
      <alignment vertical="center" wrapText="1"/>
    </xf>
    <xf numFmtId="0" fontId="98" fillId="0" borderId="134" xfId="0" applyFont="1" applyBorder="1" applyAlignment="1">
      <alignment horizontal="left" vertical="center" wrapText="1"/>
    </xf>
    <xf numFmtId="0" fontId="111" fillId="0" borderId="0" xfId="0" applyFont="1" applyAlignment="1">
      <alignment vertical="center" wrapText="1"/>
    </xf>
    <xf numFmtId="0" fontId="18" fillId="0" borderId="106" xfId="0" applyFont="1" applyBorder="1" applyAlignment="1">
      <alignment vertical="center"/>
    </xf>
    <xf numFmtId="0" fontId="98" fillId="0" borderId="0" xfId="0" applyFont="1" applyBorder="1" applyAlignment="1">
      <alignment vertical="center"/>
    </xf>
    <xf numFmtId="0" fontId="18" fillId="0" borderId="112" xfId="17" applyFont="1" applyFill="1" applyBorder="1" applyAlignment="1">
      <alignment wrapText="1"/>
    </xf>
    <xf numFmtId="0" fontId="18" fillId="0" borderId="112" xfId="0" applyFont="1" applyFill="1" applyBorder="1" applyAlignment="1">
      <alignment wrapText="1"/>
    </xf>
    <xf numFmtId="0" fontId="22" fillId="0" borderId="111" xfId="17" applyFont="1" applyFill="1" applyBorder="1" applyAlignment="1">
      <alignment vertical="center" wrapText="1"/>
    </xf>
    <xf numFmtId="0" fontId="22" fillId="0" borderId="112" xfId="17" applyFont="1" applyFill="1" applyBorder="1" applyAlignment="1">
      <alignment horizontal="center" vertical="center" wrapText="1"/>
    </xf>
    <xf numFmtId="0" fontId="22" fillId="0" borderId="135" xfId="17" applyFont="1" applyFill="1" applyBorder="1" applyAlignment="1">
      <alignment horizontal="center" vertical="center" wrapText="1"/>
    </xf>
    <xf numFmtId="0" fontId="98" fillId="0" borderId="0" xfId="0" applyFont="1" applyFill="1" applyBorder="1" applyAlignment="1">
      <alignment wrapText="1"/>
    </xf>
    <xf numFmtId="0" fontId="97" fillId="0" borderId="104" xfId="17" applyFont="1" applyFill="1" applyBorder="1" applyAlignment="1">
      <alignment horizontal="center" vertical="top" wrapText="1"/>
    </xf>
    <xf numFmtId="0" fontId="98" fillId="0" borderId="104" xfId="17" applyFont="1" applyFill="1" applyBorder="1" applyAlignment="1">
      <alignment horizontal="left"/>
    </xf>
    <xf numFmtId="0" fontId="98" fillId="0" borderId="2" xfId="17" applyFont="1" applyFill="1" applyBorder="1" applyAlignment="1">
      <alignment wrapText="1"/>
    </xf>
    <xf numFmtId="0" fontId="98" fillId="0" borderId="104" xfId="17" applyFont="1" applyFill="1" applyBorder="1" applyAlignment="1">
      <alignment wrapText="1"/>
    </xf>
    <xf numFmtId="0" fontId="97" fillId="0" borderId="104" xfId="17" applyFont="1" applyFill="1" applyBorder="1" applyAlignment="1">
      <alignment vertical="center" wrapText="1"/>
    </xf>
    <xf numFmtId="0" fontId="97" fillId="0" borderId="0" xfId="17" applyFont="1" applyFill="1" applyBorder="1" applyAlignment="1">
      <alignment vertical="center" wrapText="1"/>
    </xf>
    <xf numFmtId="0" fontId="97" fillId="0" borderId="111" xfId="17" applyFont="1" applyFill="1" applyBorder="1" applyAlignment="1">
      <alignment horizontal="center" vertical="center" wrapText="1"/>
    </xf>
    <xf numFmtId="0" fontId="18" fillId="0" borderId="137" xfId="0" applyFont="1" applyBorder="1" applyAlignment="1">
      <alignment horizontal="left" vertical="center" wrapText="1"/>
    </xf>
    <xf numFmtId="0" fontId="61" fillId="0" borderId="99" xfId="0" applyFont="1" applyBorder="1" applyAlignment="1">
      <alignment horizontal="left" vertical="center"/>
    </xf>
    <xf numFmtId="0" fontId="18" fillId="0" borderId="101" xfId="17" applyFont="1" applyBorder="1" applyAlignment="1"/>
    <xf numFmtId="0" fontId="5" fillId="0" borderId="101" xfId="17" applyFont="1" applyBorder="1" applyAlignment="1"/>
    <xf numFmtId="0" fontId="5" fillId="0" borderId="102" xfId="17" applyFont="1" applyBorder="1" applyAlignment="1"/>
    <xf numFmtId="0" fontId="5" fillId="0" borderId="103" xfId="17" applyFont="1" applyBorder="1" applyAlignment="1"/>
    <xf numFmtId="0" fontId="18" fillId="0" borderId="105" xfId="17" applyFont="1" applyBorder="1" applyAlignment="1"/>
    <xf numFmtId="0" fontId="18" fillId="0" borderId="106" xfId="17" quotePrefix="1" applyFont="1" applyFill="1" applyBorder="1" applyAlignment="1">
      <alignment vertical="center"/>
    </xf>
    <xf numFmtId="0" fontId="18" fillId="0" borderId="106" xfId="11" applyFont="1" applyFill="1" applyBorder="1"/>
    <xf numFmtId="0" fontId="18" fillId="0" borderId="106" xfId="17" applyFont="1" applyFill="1" applyBorder="1" applyAlignment="1"/>
    <xf numFmtId="0" fontId="18" fillId="0" borderId="106" xfId="17" applyFont="1" applyBorder="1" applyAlignment="1"/>
    <xf numFmtId="0" fontId="18" fillId="0" borderId="107" xfId="17" applyFont="1" applyBorder="1" applyAlignment="1"/>
    <xf numFmtId="1" fontId="22" fillId="0" borderId="6" xfId="3" applyNumberFormat="1" applyFont="1" applyFill="1" applyBorder="1" applyAlignment="1">
      <alignment horizontal="center" wrapText="1"/>
    </xf>
    <xf numFmtId="0" fontId="18" fillId="0" borderId="23" xfId="17" applyFont="1" applyFill="1" applyBorder="1" applyAlignment="1">
      <alignment horizontal="center" vertical="center"/>
    </xf>
    <xf numFmtId="166" fontId="22" fillId="0" borderId="0" xfId="17" applyNumberFormat="1" applyFont="1" applyFill="1" applyBorder="1" applyAlignment="1">
      <alignment vertical="top"/>
    </xf>
    <xf numFmtId="166" fontId="22" fillId="0" borderId="103" xfId="17" applyNumberFormat="1" applyFont="1" applyFill="1" applyBorder="1" applyAlignment="1">
      <alignment vertical="top" wrapText="1"/>
    </xf>
    <xf numFmtId="166" fontId="22" fillId="0" borderId="103" xfId="17" applyNumberFormat="1" applyFont="1" applyFill="1" applyBorder="1" applyAlignment="1">
      <alignment horizontal="left"/>
    </xf>
    <xf numFmtId="0" fontId="18" fillId="0" borderId="104" xfId="17" applyFont="1" applyBorder="1" applyAlignment="1"/>
    <xf numFmtId="0" fontId="5" fillId="0" borderId="105" xfId="17" applyFont="1" applyBorder="1" applyAlignment="1"/>
    <xf numFmtId="0" fontId="18" fillId="0" borderId="106" xfId="17" applyFont="1" applyFill="1" applyBorder="1" applyAlignment="1">
      <alignment vertical="top" wrapText="1"/>
    </xf>
    <xf numFmtId="0" fontId="18" fillId="0" borderId="107" xfId="17" applyFont="1" applyFill="1" applyBorder="1" applyAlignment="1">
      <alignment vertical="top" wrapText="1"/>
    </xf>
    <xf numFmtId="0" fontId="18" fillId="0" borderId="0" xfId="17" quotePrefix="1" applyFont="1" applyFill="1" applyBorder="1" applyAlignment="1">
      <alignment vertical="center"/>
    </xf>
    <xf numFmtId="166" fontId="5" fillId="0" borderId="0" xfId="17" applyNumberFormat="1" applyFont="1" applyBorder="1" applyAlignment="1"/>
    <xf numFmtId="0" fontId="18" fillId="0" borderId="105" xfId="17" applyFont="1" applyFill="1" applyBorder="1" applyAlignment="1">
      <alignment horizontal="center"/>
    </xf>
    <xf numFmtId="0" fontId="5" fillId="0" borderId="106" xfId="17" applyFont="1" applyBorder="1" applyAlignment="1"/>
    <xf numFmtId="0" fontId="4" fillId="0" borderId="106" xfId="17" applyFont="1" applyBorder="1" applyAlignment="1"/>
    <xf numFmtId="0" fontId="4" fillId="0" borderId="106" xfId="17" applyFont="1" applyBorder="1" applyAlignment="1">
      <alignment horizontal="left"/>
    </xf>
    <xf numFmtId="0" fontId="5" fillId="0" borderId="107" xfId="17" applyFont="1" applyBorder="1" applyAlignment="1"/>
    <xf numFmtId="0" fontId="18" fillId="0" borderId="106" xfId="17" applyFont="1" applyFill="1" applyBorder="1" applyAlignment="1">
      <alignment horizontal="right"/>
    </xf>
    <xf numFmtId="0" fontId="18" fillId="0" borderId="137" xfId="17" applyFont="1" applyFill="1" applyBorder="1" applyAlignment="1"/>
    <xf numFmtId="0" fontId="18" fillId="0" borderId="138" xfId="17" applyFont="1" applyFill="1" applyBorder="1" applyAlignment="1"/>
    <xf numFmtId="0" fontId="18" fillId="0" borderId="139" xfId="17" applyFont="1" applyFill="1" applyBorder="1" applyAlignment="1"/>
    <xf numFmtId="0" fontId="22" fillId="0" borderId="106" xfId="17" applyFont="1" applyFill="1" applyBorder="1" applyAlignment="1">
      <alignment vertical="center"/>
    </xf>
    <xf numFmtId="0" fontId="18" fillId="0" borderId="101" xfId="17" applyFont="1" applyFill="1" applyBorder="1" applyAlignment="1">
      <alignment vertical="top"/>
    </xf>
    <xf numFmtId="0" fontId="18" fillId="0" borderId="102" xfId="17" applyFont="1" applyFill="1" applyBorder="1" applyAlignment="1">
      <alignment vertical="top"/>
    </xf>
    <xf numFmtId="0" fontId="18" fillId="0" borderId="104" xfId="17" applyFont="1" applyFill="1" applyBorder="1" applyAlignment="1">
      <alignment vertical="top"/>
    </xf>
    <xf numFmtId="0" fontId="18" fillId="0" borderId="104" xfId="17" applyFont="1" applyFill="1" applyBorder="1" applyAlignment="1">
      <alignment vertical="top" wrapText="1"/>
    </xf>
    <xf numFmtId="0" fontId="5" fillId="0" borderId="106" xfId="11" applyFont="1" applyBorder="1" applyAlignment="1">
      <alignment vertical="top" wrapText="1"/>
    </xf>
    <xf numFmtId="0" fontId="5" fillId="0" borderId="107" xfId="11" applyFont="1" applyBorder="1" applyAlignment="1">
      <alignment vertical="top" wrapText="1"/>
    </xf>
    <xf numFmtId="0" fontId="22" fillId="0" borderId="0" xfId="17" applyFont="1" applyFill="1" applyBorder="1" applyAlignment="1">
      <alignment vertical="top" wrapText="1"/>
    </xf>
    <xf numFmtId="0" fontId="22" fillId="0" borderId="104" xfId="17" applyFont="1" applyFill="1" applyBorder="1" applyAlignment="1">
      <alignment horizontal="left"/>
    </xf>
    <xf numFmtId="0" fontId="102" fillId="7" borderId="0" xfId="0" applyFont="1" applyFill="1"/>
    <xf numFmtId="0" fontId="100" fillId="7" borderId="0" xfId="0" applyFont="1" applyFill="1" applyBorder="1" applyAlignment="1">
      <alignment textRotation="90"/>
    </xf>
    <xf numFmtId="0" fontId="101" fillId="7" borderId="6" xfId="0" applyFont="1" applyFill="1" applyBorder="1"/>
    <xf numFmtId="0" fontId="101" fillId="7" borderId="3" xfId="0" applyFont="1" applyFill="1" applyBorder="1"/>
    <xf numFmtId="0" fontId="101" fillId="7" borderId="4" xfId="0" applyFont="1" applyFill="1" applyBorder="1"/>
    <xf numFmtId="0" fontId="98" fillId="0" borderId="0" xfId="17" applyFont="1" applyFill="1" applyAlignment="1">
      <alignment horizontal="left" vertical="center"/>
    </xf>
    <xf numFmtId="0" fontId="98" fillId="0" borderId="0" xfId="17" applyFont="1" applyFill="1" applyBorder="1" applyAlignment="1">
      <alignment vertical="center" wrapText="1"/>
    </xf>
    <xf numFmtId="0" fontId="106" fillId="0" borderId="0" xfId="17" applyFont="1" applyFill="1" applyBorder="1" applyAlignment="1">
      <alignment vertical="center"/>
    </xf>
    <xf numFmtId="166" fontId="97" fillId="0" borderId="0" xfId="17" applyNumberFormat="1" applyFont="1" applyFill="1" applyBorder="1" applyAlignment="1">
      <alignment horizontal="center" vertical="center" wrapText="1"/>
    </xf>
    <xf numFmtId="0" fontId="101" fillId="0" borderId="0" xfId="0" applyFont="1" applyAlignment="1">
      <alignment horizontal="center" vertical="center" wrapText="1"/>
    </xf>
    <xf numFmtId="166" fontId="22" fillId="0" borderId="124" xfId="17" applyNumberFormat="1" applyFont="1" applyFill="1" applyBorder="1" applyAlignment="1">
      <alignment horizontal="left"/>
    </xf>
    <xf numFmtId="0" fontId="19" fillId="0" borderId="104" xfId="10" applyFont="1" applyBorder="1" applyAlignment="1">
      <alignment wrapText="1"/>
    </xf>
    <xf numFmtId="0" fontId="18" fillId="0" borderId="141" xfId="17" applyFont="1" applyFill="1" applyBorder="1" applyAlignment="1"/>
    <xf numFmtId="166" fontId="22" fillId="0" borderId="81" xfId="17" applyNumberFormat="1" applyFont="1" applyFill="1" applyBorder="1" applyAlignment="1">
      <alignment horizontal="left" wrapText="1"/>
    </xf>
    <xf numFmtId="166" fontId="97" fillId="0" borderId="8" xfId="17" applyNumberFormat="1" applyFont="1" applyFill="1" applyBorder="1" applyAlignment="1">
      <alignment horizontal="left"/>
    </xf>
    <xf numFmtId="0" fontId="98" fillId="0" borderId="6" xfId="0" applyFont="1" applyBorder="1" applyAlignment="1">
      <alignment horizontal="center" vertical="center" wrapText="1"/>
    </xf>
    <xf numFmtId="166" fontId="97" fillId="0" borderId="8" xfId="0" applyNumberFormat="1" applyFont="1" applyBorder="1" applyAlignment="1">
      <alignment horizontal="center" vertical="top" wrapText="1"/>
    </xf>
    <xf numFmtId="0" fontId="18" fillId="0" borderId="112" xfId="17" applyFont="1" applyFill="1" applyBorder="1" applyAlignment="1"/>
    <xf numFmtId="1" fontId="18" fillId="0" borderId="0" xfId="3" applyNumberFormat="1" applyFont="1" applyFill="1" applyBorder="1" applyAlignment="1">
      <alignment vertical="top" wrapText="1"/>
    </xf>
    <xf numFmtId="166" fontId="22" fillId="0" borderId="100" xfId="17" applyNumberFormat="1" applyFont="1" applyFill="1" applyBorder="1" applyAlignment="1">
      <alignment horizontal="left"/>
    </xf>
    <xf numFmtId="0" fontId="0" fillId="0" borderId="104" xfId="0" applyBorder="1"/>
    <xf numFmtId="1" fontId="22" fillId="0" borderId="104" xfId="3" applyNumberFormat="1" applyFont="1" applyFill="1" applyBorder="1" applyAlignment="1">
      <alignment horizontal="center" wrapText="1"/>
    </xf>
    <xf numFmtId="1" fontId="22" fillId="0" borderId="104" xfId="3" applyNumberFormat="1" applyFont="1" applyFill="1" applyBorder="1" applyAlignment="1">
      <alignment wrapText="1"/>
    </xf>
    <xf numFmtId="166" fontId="22" fillId="0" borderId="102" xfId="17" applyNumberFormat="1" applyFont="1" applyFill="1" applyBorder="1" applyAlignment="1">
      <alignment horizontal="left" wrapText="1"/>
    </xf>
    <xf numFmtId="1" fontId="18" fillId="0" borderId="107" xfId="3" applyNumberFormat="1" applyFont="1" applyFill="1" applyBorder="1" applyAlignment="1">
      <alignment horizontal="left" vertical="top" wrapText="1"/>
    </xf>
    <xf numFmtId="1" fontId="18" fillId="0" borderId="112" xfId="3" applyNumberFormat="1" applyFont="1" applyFill="1" applyBorder="1" applyAlignment="1">
      <alignment vertical="top" wrapText="1"/>
    </xf>
    <xf numFmtId="0" fontId="18" fillId="2" borderId="112" xfId="17" applyFont="1" applyFill="1" applyBorder="1" applyAlignment="1">
      <alignment vertical="top"/>
    </xf>
    <xf numFmtId="0" fontId="18" fillId="2" borderId="112" xfId="17" applyFont="1" applyFill="1" applyBorder="1" applyAlignment="1">
      <alignment vertical="top" wrapText="1"/>
    </xf>
    <xf numFmtId="1" fontId="18" fillId="0" borderId="112" xfId="3" applyNumberFormat="1" applyFont="1" applyFill="1" applyBorder="1" applyAlignment="1">
      <alignment horizontal="center"/>
    </xf>
    <xf numFmtId="0" fontId="18" fillId="0" borderId="111" xfId="17" applyFont="1" applyFill="1" applyBorder="1" applyAlignment="1"/>
    <xf numFmtId="1" fontId="22" fillId="0" borderId="111" xfId="3" applyNumberFormat="1" applyFont="1" applyFill="1" applyBorder="1" applyAlignment="1">
      <alignment horizontal="center"/>
    </xf>
    <xf numFmtId="1" fontId="22" fillId="0" borderId="53" xfId="3" applyNumberFormat="1" applyFont="1" applyFill="1" applyBorder="1" applyAlignment="1">
      <alignment horizontal="center"/>
    </xf>
    <xf numFmtId="166" fontId="18" fillId="0" borderId="103" xfId="17" applyNumberFormat="1" applyFont="1" applyFill="1" applyBorder="1" applyAlignment="1">
      <alignment horizontal="center"/>
    </xf>
    <xf numFmtId="0" fontId="18" fillId="0" borderId="0" xfId="17" applyFont="1" applyFill="1" applyBorder="1" applyAlignment="1">
      <alignment vertical="center" wrapText="1"/>
    </xf>
    <xf numFmtId="0" fontId="18" fillId="0" borderId="106" xfId="17" applyFont="1" applyFill="1" applyBorder="1" applyAlignment="1">
      <alignment horizontal="left" vertical="center" wrapText="1"/>
    </xf>
    <xf numFmtId="0" fontId="9" fillId="0" borderId="0" xfId="17" applyFont="1" applyFill="1" applyBorder="1" applyAlignment="1">
      <alignment horizontal="center" vertical="top"/>
    </xf>
    <xf numFmtId="0" fontId="98" fillId="7" borderId="23" xfId="0" applyFont="1" applyFill="1" applyBorder="1" applyAlignment="1">
      <alignment horizontal="left" vertical="top" wrapText="1"/>
    </xf>
    <xf numFmtId="0" fontId="98" fillId="7" borderId="12" xfId="0" applyFont="1" applyFill="1" applyBorder="1" applyAlignment="1">
      <alignment horizontal="left" vertical="top" wrapText="1"/>
    </xf>
    <xf numFmtId="0" fontId="98" fillId="0" borderId="3" xfId="0" applyFont="1" applyBorder="1" applyAlignment="1">
      <alignment horizontal="center" vertical="top" wrapText="1"/>
    </xf>
    <xf numFmtId="0" fontId="98" fillId="0" borderId="8" xfId="0" applyFont="1" applyBorder="1" applyAlignment="1">
      <alignment horizontal="center" vertical="center" wrapText="1"/>
    </xf>
    <xf numFmtId="0" fontId="98" fillId="0" borderId="0" xfId="0" applyFont="1" applyBorder="1"/>
    <xf numFmtId="0" fontId="98" fillId="0" borderId="10" xfId="0" applyFont="1" applyBorder="1"/>
    <xf numFmtId="0" fontId="98" fillId="0" borderId="2" xfId="0" applyFont="1" applyBorder="1"/>
    <xf numFmtId="0" fontId="98" fillId="0" borderId="12" xfId="0" applyFont="1" applyBorder="1"/>
    <xf numFmtId="0" fontId="101" fillId="0" borderId="0" xfId="0" applyFont="1"/>
    <xf numFmtId="166" fontId="97" fillId="0" borderId="5" xfId="0" applyNumberFormat="1" applyFont="1" applyBorder="1" applyAlignment="1">
      <alignment horizontal="left" vertical="top" wrapText="1"/>
    </xf>
    <xf numFmtId="0" fontId="97" fillId="0" borderId="4" xfId="0" applyFont="1" applyBorder="1" applyAlignment="1">
      <alignment horizontal="center" vertical="center" wrapText="1"/>
    </xf>
    <xf numFmtId="0" fontId="98" fillId="0" borderId="4" xfId="0" applyFont="1" applyBorder="1" applyAlignment="1">
      <alignment horizontal="center" vertical="center" wrapText="1"/>
    </xf>
    <xf numFmtId="166" fontId="22" fillId="0" borderId="9" xfId="17" applyNumberFormat="1" applyFont="1" applyFill="1" applyBorder="1" applyAlignment="1">
      <alignment horizontal="left" vertical="center"/>
    </xf>
    <xf numFmtId="166" fontId="97" fillId="0" borderId="100" xfId="17" applyNumberFormat="1" applyFont="1" applyFill="1" applyBorder="1" applyAlignment="1">
      <alignment horizontal="left"/>
    </xf>
    <xf numFmtId="166" fontId="97" fillId="0" borderId="100" xfId="17" applyNumberFormat="1" applyFont="1" applyFill="1" applyBorder="1" applyAlignment="1"/>
    <xf numFmtId="166" fontId="97" fillId="0" borderId="101" xfId="17" applyNumberFormat="1" applyFont="1" applyFill="1" applyBorder="1" applyAlignment="1"/>
    <xf numFmtId="0" fontId="98" fillId="0" borderId="103" xfId="17" applyFont="1" applyBorder="1" applyAlignment="1"/>
    <xf numFmtId="166" fontId="97" fillId="0" borderId="103" xfId="17" applyNumberFormat="1" applyFont="1" applyFill="1" applyBorder="1" applyAlignment="1"/>
    <xf numFmtId="166" fontId="98" fillId="0" borderId="0" xfId="17" applyNumberFormat="1" applyFont="1" applyFill="1" applyBorder="1" applyAlignment="1"/>
    <xf numFmtId="0" fontId="97" fillId="0" borderId="0" xfId="17" applyFont="1" applyFill="1" applyBorder="1" applyAlignment="1">
      <alignment horizontal="right"/>
    </xf>
    <xf numFmtId="166" fontId="98" fillId="0" borderId="103" xfId="17" applyNumberFormat="1" applyFont="1" applyBorder="1" applyAlignment="1"/>
    <xf numFmtId="0" fontId="98" fillId="0" borderId="104" xfId="17" applyFont="1" applyBorder="1" applyAlignment="1"/>
    <xf numFmtId="0" fontId="98" fillId="0" borderId="103" xfId="17" applyFont="1" applyFill="1" applyBorder="1" applyAlignment="1"/>
    <xf numFmtId="0" fontId="98" fillId="0" borderId="104" xfId="17" applyFont="1" applyFill="1" applyBorder="1" applyAlignment="1"/>
    <xf numFmtId="0" fontId="98" fillId="0" borderId="0" xfId="17" applyFont="1" applyFill="1" applyBorder="1" applyAlignment="1">
      <alignment horizontal="left"/>
    </xf>
    <xf numFmtId="0" fontId="98" fillId="0" borderId="105" xfId="17" applyFont="1" applyFill="1" applyBorder="1" applyAlignment="1"/>
    <xf numFmtId="0" fontId="98" fillId="0" borderId="106" xfId="17" applyFont="1" applyFill="1" applyBorder="1" applyAlignment="1"/>
    <xf numFmtId="166" fontId="97" fillId="0" borderId="105" xfId="17" applyNumberFormat="1" applyFont="1" applyFill="1" applyBorder="1" applyAlignment="1"/>
    <xf numFmtId="0" fontId="98" fillId="0" borderId="106" xfId="17" applyFont="1" applyFill="1" applyBorder="1" applyAlignment="1">
      <alignment horizontal="left"/>
    </xf>
    <xf numFmtId="0" fontId="98" fillId="0" borderId="107" xfId="17" applyFont="1" applyFill="1" applyBorder="1" applyAlignment="1"/>
    <xf numFmtId="0" fontId="98" fillId="0" borderId="106" xfId="17" applyFont="1" applyBorder="1" applyAlignment="1"/>
    <xf numFmtId="0" fontId="98" fillId="0" borderId="107" xfId="17" applyFont="1" applyBorder="1" applyAlignment="1"/>
    <xf numFmtId="166" fontId="97" fillId="0" borderId="22" xfId="17" applyNumberFormat="1" applyFont="1" applyFill="1" applyBorder="1" applyAlignment="1">
      <alignment horizontal="left" wrapText="1"/>
    </xf>
    <xf numFmtId="0" fontId="98" fillId="0" borderId="0" xfId="0" applyFont="1" applyFill="1" applyBorder="1" applyAlignment="1">
      <alignment vertical="top" wrapText="1"/>
    </xf>
    <xf numFmtId="0" fontId="18" fillId="0" borderId="31" xfId="17" applyFont="1" applyFill="1" applyBorder="1" applyAlignment="1">
      <alignment vertical="center"/>
    </xf>
    <xf numFmtId="0" fontId="0" fillId="0" borderId="146" xfId="0" applyBorder="1" applyAlignment="1">
      <alignment horizontal="center"/>
    </xf>
    <xf numFmtId="0" fontId="0" fillId="0" borderId="147" xfId="0" applyBorder="1" applyAlignment="1">
      <alignment horizontal="center"/>
    </xf>
    <xf numFmtId="0" fontId="64" fillId="0" borderId="12" xfId="0" applyFont="1" applyBorder="1" applyAlignment="1">
      <alignment horizontal="left" readingOrder="1"/>
    </xf>
    <xf numFmtId="0" fontId="65" fillId="0" borderId="12" xfId="0" applyFont="1" applyBorder="1" applyAlignment="1">
      <alignment horizontal="left" readingOrder="1"/>
    </xf>
    <xf numFmtId="0" fontId="18" fillId="0" borderId="36" xfId="10" applyFont="1" applyFill="1" applyBorder="1" applyAlignment="1">
      <alignment horizontal="left" vertical="center"/>
    </xf>
    <xf numFmtId="0" fontId="18" fillId="0" borderId="24" xfId="10" applyFont="1" applyFill="1" applyBorder="1" applyAlignment="1">
      <alignment horizontal="left" vertical="center"/>
    </xf>
    <xf numFmtId="0" fontId="58" fillId="0" borderId="24" xfId="18" applyFont="1" applyFill="1" applyBorder="1" applyAlignment="1">
      <alignment horizontal="left" vertical="center" wrapText="1"/>
    </xf>
    <xf numFmtId="0" fontId="64" fillId="0" borderId="142" xfId="0" applyFont="1" applyBorder="1" applyAlignment="1">
      <alignment horizontal="left" readingOrder="1"/>
    </xf>
    <xf numFmtId="0" fontId="64" fillId="0" borderId="126" xfId="0" applyFont="1" applyBorder="1" applyAlignment="1">
      <alignment horizontal="left" readingOrder="1"/>
    </xf>
    <xf numFmtId="0" fontId="65" fillId="0" borderId="126" xfId="0" applyFont="1" applyBorder="1" applyAlignment="1">
      <alignment horizontal="left" readingOrder="1"/>
    </xf>
    <xf numFmtId="0" fontId="18" fillId="0" borderId="126" xfId="18" applyFont="1" applyFill="1" applyBorder="1" applyAlignment="1">
      <alignment horizontal="left" vertical="center" wrapText="1"/>
    </xf>
    <xf numFmtId="0" fontId="18" fillId="0" borderId="126" xfId="10" applyFont="1" applyFill="1" applyBorder="1" applyAlignment="1">
      <alignment horizontal="left" vertical="center"/>
    </xf>
    <xf numFmtId="0" fontId="58" fillId="0" borderId="126" xfId="18" applyFont="1" applyFill="1" applyBorder="1" applyAlignment="1">
      <alignment horizontal="left" vertical="center" wrapText="1"/>
    </xf>
    <xf numFmtId="0" fontId="63" fillId="0" borderId="0" xfId="0" applyFont="1" applyFill="1" applyAlignment="1">
      <alignment vertical="top" wrapText="1" readingOrder="1"/>
    </xf>
    <xf numFmtId="0" fontId="63" fillId="0" borderId="24" xfId="0" applyFont="1" applyFill="1" applyBorder="1" applyAlignment="1">
      <alignment vertical="top" wrapText="1" readingOrder="1"/>
    </xf>
    <xf numFmtId="0" fontId="100" fillId="0" borderId="2" xfId="0" applyFont="1" applyBorder="1" applyAlignment="1">
      <alignment horizontal="left" readingOrder="1"/>
    </xf>
    <xf numFmtId="0" fontId="112" fillId="0" borderId="53" xfId="0" applyFont="1" applyBorder="1" applyAlignment="1">
      <alignment horizontal="left" readingOrder="1"/>
    </xf>
    <xf numFmtId="166" fontId="97" fillId="0" borderId="16" xfId="17" applyNumberFormat="1" applyFont="1" applyFill="1" applyBorder="1" applyAlignment="1">
      <alignment horizontal="center"/>
    </xf>
    <xf numFmtId="0" fontId="18" fillId="2" borderId="2" xfId="17" applyFont="1" applyFill="1" applyBorder="1" applyAlignment="1">
      <alignment vertical="top"/>
    </xf>
    <xf numFmtId="0" fontId="18" fillId="0" borderId="2" xfId="0" applyFont="1" applyBorder="1" applyAlignment="1">
      <alignment horizontal="center" vertical="top"/>
    </xf>
    <xf numFmtId="0" fontId="18" fillId="0" borderId="2" xfId="0" applyFont="1" applyBorder="1" applyAlignment="1">
      <alignment horizontal="left" vertical="top"/>
    </xf>
    <xf numFmtId="0" fontId="18" fillId="0" borderId="12" xfId="0" applyFont="1" applyBorder="1" applyAlignment="1">
      <alignment horizontal="left" vertical="top"/>
    </xf>
    <xf numFmtId="0" fontId="79" fillId="0" borderId="23" xfId="0" applyFont="1" applyBorder="1" applyAlignment="1">
      <alignment horizontal="left" vertical="top" wrapText="1"/>
    </xf>
    <xf numFmtId="166" fontId="97" fillId="0" borderId="148" xfId="17" applyNumberFormat="1" applyFont="1" applyFill="1" applyBorder="1" applyAlignment="1">
      <alignment horizontal="left" wrapText="1"/>
    </xf>
    <xf numFmtId="0" fontId="98" fillId="0" borderId="108" xfId="0" applyFont="1" applyFill="1" applyBorder="1" applyAlignment="1">
      <alignment vertical="top" wrapText="1"/>
    </xf>
    <xf numFmtId="0" fontId="98" fillId="0" borderId="108" xfId="0" applyFont="1" applyFill="1" applyBorder="1" applyAlignment="1">
      <alignment horizontal="left" vertical="top" wrapText="1"/>
    </xf>
    <xf numFmtId="0" fontId="97" fillId="0" borderId="149" xfId="17" applyFont="1" applyFill="1" applyBorder="1" applyAlignment="1">
      <alignment horizontal="center"/>
    </xf>
    <xf numFmtId="0" fontId="97" fillId="0" borderId="150" xfId="17" applyFont="1" applyFill="1" applyBorder="1" applyAlignment="1">
      <alignment horizontal="center"/>
    </xf>
    <xf numFmtId="0" fontId="98" fillId="0" borderId="2" xfId="0" applyFont="1" applyBorder="1" applyAlignment="1">
      <alignment horizontal="center" vertical="top" wrapText="1"/>
    </xf>
    <xf numFmtId="166" fontId="97" fillId="0" borderId="37" xfId="0" applyNumberFormat="1" applyFont="1" applyBorder="1" applyAlignment="1">
      <alignment horizontal="left" vertical="top" wrapText="1"/>
    </xf>
    <xf numFmtId="166" fontId="82" fillId="0" borderId="124" xfId="17" applyNumberFormat="1" applyFont="1" applyFill="1" applyBorder="1" applyAlignment="1">
      <alignment horizontal="left"/>
    </xf>
    <xf numFmtId="1" fontId="79" fillId="0" borderId="104" xfId="3" applyNumberFormat="1" applyFont="1" applyFill="1" applyBorder="1" applyAlignment="1">
      <alignment horizontal="left" vertical="top" wrapText="1"/>
    </xf>
    <xf numFmtId="1" fontId="79" fillId="0" borderId="104" xfId="3" applyNumberFormat="1" applyFont="1" applyFill="1" applyBorder="1" applyAlignment="1">
      <alignment vertical="top" wrapText="1"/>
    </xf>
    <xf numFmtId="1" fontId="88" fillId="0" borderId="104" xfId="3" applyNumberFormat="1" applyFont="1" applyFill="1" applyBorder="1" applyAlignment="1">
      <alignment vertical="top" wrapText="1"/>
    </xf>
    <xf numFmtId="1" fontId="79" fillId="0" borderId="104" xfId="3" applyNumberFormat="1" applyFont="1" applyFill="1" applyBorder="1" applyAlignment="1">
      <alignment horizontal="center"/>
    </xf>
    <xf numFmtId="1" fontId="82" fillId="0" borderId="141" xfId="3" applyNumberFormat="1" applyFont="1" applyFill="1" applyBorder="1" applyAlignment="1">
      <alignment horizontal="center" wrapText="1"/>
    </xf>
    <xf numFmtId="1" fontId="82" fillId="0" borderId="151" xfId="3" applyNumberFormat="1" applyFont="1" applyFill="1" applyBorder="1" applyAlignment="1">
      <alignment horizontal="center" wrapText="1"/>
    </xf>
    <xf numFmtId="0" fontId="113" fillId="0" borderId="103" xfId="0" applyFont="1" applyBorder="1" applyAlignment="1">
      <alignment wrapText="1"/>
    </xf>
    <xf numFmtId="0" fontId="18" fillId="0" borderId="103" xfId="0" applyFont="1" applyBorder="1" applyAlignment="1">
      <alignment horizontal="left" vertical="center" wrapText="1"/>
    </xf>
    <xf numFmtId="0" fontId="113" fillId="0" borderId="105" xfId="0" applyFont="1" applyBorder="1" applyAlignment="1">
      <alignment wrapText="1"/>
    </xf>
    <xf numFmtId="0" fontId="114" fillId="0" borderId="0" xfId="0" applyFont="1" applyBorder="1" applyAlignment="1"/>
    <xf numFmtId="166" fontId="22" fillId="0" borderId="0" xfId="17" applyNumberFormat="1" applyFont="1" applyFill="1" applyBorder="1" applyAlignment="1">
      <alignment horizontal="right"/>
    </xf>
    <xf numFmtId="0" fontId="102" fillId="0" borderId="3" xfId="0" applyFont="1" applyBorder="1"/>
    <xf numFmtId="0" fontId="98" fillId="0" borderId="3" xfId="0" applyFont="1" applyBorder="1"/>
    <xf numFmtId="0" fontId="22" fillId="0" borderId="1" xfId="0" applyFont="1" applyFill="1" applyBorder="1" applyAlignment="1">
      <alignment vertical="top" wrapText="1"/>
    </xf>
    <xf numFmtId="0" fontId="22" fillId="0" borderId="1" xfId="0" quotePrefix="1" applyFont="1" applyFill="1" applyBorder="1" applyAlignment="1">
      <alignment vertical="top" wrapText="1"/>
    </xf>
    <xf numFmtId="0" fontId="22" fillId="0" borderId="1" xfId="0" applyFont="1" applyFill="1" applyBorder="1" applyAlignment="1">
      <alignment horizontal="left" vertical="top" wrapText="1"/>
    </xf>
    <xf numFmtId="0" fontId="18" fillId="2" borderId="23" xfId="17" applyFont="1" applyFill="1" applyBorder="1" applyAlignment="1">
      <alignment horizontal="left" vertical="top" wrapText="1"/>
    </xf>
    <xf numFmtId="0" fontId="18" fillId="0" borderId="2" xfId="10" applyFont="1" applyBorder="1"/>
    <xf numFmtId="0" fontId="18" fillId="0" borderId="2" xfId="10" applyFont="1" applyBorder="1" applyAlignment="1">
      <alignment wrapText="1"/>
    </xf>
    <xf numFmtId="0" fontId="18" fillId="0" borderId="2" xfId="10" applyFont="1" applyBorder="1" applyAlignment="1">
      <alignment vertical="top" wrapText="1"/>
    </xf>
    <xf numFmtId="0" fontId="22" fillId="2" borderId="3" xfId="17" applyFont="1" applyFill="1" applyBorder="1" applyAlignment="1">
      <alignment horizontal="center" vertical="top"/>
    </xf>
    <xf numFmtId="0" fontId="18" fillId="0" borderId="112" xfId="0" applyFont="1" applyBorder="1" applyAlignment="1">
      <alignment vertical="top" wrapText="1"/>
    </xf>
    <xf numFmtId="0" fontId="18" fillId="0" borderId="112" xfId="0" applyFont="1" applyBorder="1" applyAlignment="1">
      <alignment vertical="top"/>
    </xf>
    <xf numFmtId="0" fontId="18" fillId="0" borderId="112" xfId="17" applyFont="1" applyBorder="1" applyAlignment="1">
      <alignment vertical="top"/>
    </xf>
    <xf numFmtId="0" fontId="18" fillId="2" borderId="112" xfId="17" applyFont="1" applyFill="1" applyBorder="1" applyAlignment="1">
      <alignment horizontal="left" vertical="top" wrapText="1"/>
    </xf>
    <xf numFmtId="0" fontId="18" fillId="2" borderId="111" xfId="17" applyFont="1" applyFill="1" applyBorder="1" applyAlignment="1">
      <alignment horizontal="left" vertical="top" wrapText="1"/>
    </xf>
    <xf numFmtId="0" fontId="57" fillId="0" borderId="1" xfId="17" applyFont="1" applyFill="1" applyBorder="1" applyAlignment="1">
      <alignment horizontal="right" vertical="top" wrapText="1"/>
    </xf>
    <xf numFmtId="0" fontId="18" fillId="0" borderId="112" xfId="0" applyFont="1" applyBorder="1" applyAlignment="1">
      <alignment horizontal="left" vertical="top"/>
    </xf>
    <xf numFmtId="0" fontId="78" fillId="0" borderId="0" xfId="0" applyFont="1" applyAlignment="1">
      <alignment horizontal="center" vertical="center"/>
    </xf>
    <xf numFmtId="0" fontId="18" fillId="0" borderId="27" xfId="17" applyFont="1" applyFill="1" applyBorder="1" applyAlignment="1">
      <alignment horizontal="center" vertical="center"/>
    </xf>
    <xf numFmtId="0" fontId="18" fillId="5" borderId="27" xfId="17" applyFont="1" applyFill="1" applyBorder="1" applyAlignment="1">
      <alignment horizontal="center" vertical="center"/>
    </xf>
    <xf numFmtId="0" fontId="18" fillId="5" borderId="31" xfId="17" applyFont="1" applyFill="1" applyBorder="1" applyAlignment="1">
      <alignment horizontal="center" vertical="center"/>
    </xf>
    <xf numFmtId="0" fontId="18" fillId="0" borderId="1" xfId="17" applyFont="1" applyFill="1" applyBorder="1" applyAlignment="1">
      <alignment horizontal="center" vertical="center"/>
    </xf>
    <xf numFmtId="0" fontId="18" fillId="0" borderId="0" xfId="17" applyFont="1" applyFill="1" applyBorder="1" applyAlignment="1">
      <alignment horizontal="center" vertical="center"/>
    </xf>
    <xf numFmtId="0" fontId="22" fillId="0" borderId="44" xfId="17" applyFont="1" applyFill="1" applyBorder="1" applyAlignment="1">
      <alignment horizontal="center"/>
    </xf>
    <xf numFmtId="0" fontId="22" fillId="0" borderId="45" xfId="17" applyFont="1" applyFill="1" applyBorder="1" applyAlignment="1">
      <alignment horizontal="center"/>
    </xf>
    <xf numFmtId="0" fontId="18" fillId="0" borderId="3" xfId="0" applyFont="1" applyBorder="1" applyAlignment="1">
      <alignment horizontal="left" vertical="top" wrapText="1"/>
    </xf>
    <xf numFmtId="0" fontId="18" fillId="0" borderId="2" xfId="17" applyFont="1" applyFill="1" applyBorder="1" applyAlignment="1">
      <alignment horizontal="center" vertical="top" wrapText="1"/>
    </xf>
    <xf numFmtId="0" fontId="18" fillId="0" borderId="1" xfId="17" applyFont="1" applyFill="1" applyBorder="1" applyAlignment="1">
      <alignment horizontal="left" vertical="top" wrapText="1"/>
    </xf>
    <xf numFmtId="0" fontId="18" fillId="0" borderId="3" xfId="17" applyFont="1" applyFill="1" applyBorder="1" applyAlignment="1">
      <alignment horizontal="left" vertical="center" wrapText="1"/>
    </xf>
    <xf numFmtId="0" fontId="98" fillId="0" borderId="3" xfId="0" applyFont="1" applyBorder="1" applyAlignment="1">
      <alignment horizontal="left" vertical="top" wrapText="1"/>
    </xf>
    <xf numFmtId="0" fontId="18" fillId="0" borderId="1" xfId="0" applyFont="1" applyFill="1" applyBorder="1" applyAlignment="1">
      <alignment horizontal="left" vertical="top" wrapText="1"/>
    </xf>
    <xf numFmtId="0" fontId="18" fillId="0" borderId="0"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23" xfId="0" applyFont="1" applyFill="1" applyBorder="1" applyAlignment="1">
      <alignment horizontal="left" vertical="top" wrapText="1"/>
    </xf>
    <xf numFmtId="0" fontId="18" fillId="0" borderId="24" xfId="0" applyFont="1" applyFill="1" applyBorder="1" applyAlignment="1">
      <alignment horizontal="left" vertical="top" wrapText="1"/>
    </xf>
    <xf numFmtId="0" fontId="18" fillId="2" borderId="1" xfId="17" applyFont="1" applyFill="1" applyBorder="1" applyAlignment="1">
      <alignment horizontal="left" vertical="top" wrapText="1"/>
    </xf>
    <xf numFmtId="0" fontId="18" fillId="2" borderId="2" xfId="17" applyFont="1" applyFill="1" applyBorder="1" applyAlignment="1">
      <alignment horizontal="left" vertical="top" wrapText="1"/>
    </xf>
    <xf numFmtId="0" fontId="18" fillId="0" borderId="0" xfId="17" applyFont="1" applyFill="1" applyBorder="1" applyAlignment="1">
      <alignment horizontal="center" vertical="top" wrapText="1"/>
    </xf>
    <xf numFmtId="0" fontId="18" fillId="0" borderId="24" xfId="17" applyFont="1" applyFill="1" applyBorder="1" applyAlignment="1">
      <alignment horizontal="center" vertical="top" wrapText="1"/>
    </xf>
    <xf numFmtId="0" fontId="18" fillId="0" borderId="6" xfId="0" applyFont="1" applyBorder="1" applyAlignment="1">
      <alignment horizontal="left" vertical="top" wrapText="1"/>
    </xf>
    <xf numFmtId="0" fontId="18" fillId="0" borderId="3" xfId="10" applyFont="1" applyBorder="1" applyAlignment="1">
      <alignment horizontal="left" vertical="top" wrapText="1"/>
    </xf>
    <xf numFmtId="0" fontId="18" fillId="0" borderId="112" xfId="0" applyFont="1" applyBorder="1" applyAlignment="1">
      <alignment horizontal="left" vertical="top" wrapText="1"/>
    </xf>
    <xf numFmtId="0" fontId="18" fillId="2" borderId="3" xfId="17" applyFont="1" applyFill="1" applyBorder="1" applyAlignment="1">
      <alignment horizontal="left" vertical="top"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17" applyFont="1" applyFill="1" applyBorder="1" applyAlignment="1">
      <alignment horizontal="left" vertical="top" wrapText="1"/>
    </xf>
    <xf numFmtId="166" fontId="22" fillId="0" borderId="9" xfId="17" applyNumberFormat="1" applyFont="1" applyFill="1" applyBorder="1" applyAlignment="1">
      <alignment horizontal="center" wrapText="1"/>
    </xf>
    <xf numFmtId="0" fontId="98" fillId="2" borderId="3" xfId="17" applyFont="1" applyFill="1" applyBorder="1" applyAlignment="1">
      <alignment horizontal="left" vertical="top" wrapText="1"/>
    </xf>
    <xf numFmtId="0" fontId="18" fillId="0" borderId="0" xfId="17" applyFont="1" applyFill="1" applyBorder="1" applyAlignment="1">
      <alignment horizontal="left" vertical="top" wrapText="1"/>
    </xf>
    <xf numFmtId="0" fontId="18" fillId="0" borderId="2" xfId="17" applyFont="1" applyFill="1" applyBorder="1" applyAlignment="1">
      <alignment horizontal="left" vertical="top" wrapText="1"/>
    </xf>
    <xf numFmtId="0" fontId="98" fillId="0" borderId="3" xfId="17" applyFont="1" applyFill="1" applyBorder="1" applyAlignment="1">
      <alignment horizontal="left" vertical="top" wrapText="1"/>
    </xf>
    <xf numFmtId="0" fontId="18" fillId="0" borderId="1" xfId="0" applyFont="1" applyBorder="1" applyAlignment="1">
      <alignment vertical="top" wrapText="1"/>
    </xf>
    <xf numFmtId="0" fontId="79" fillId="0" borderId="3" xfId="0" applyFont="1" applyBorder="1" applyAlignment="1">
      <alignment horizontal="left" vertical="top" wrapText="1"/>
    </xf>
    <xf numFmtId="166" fontId="22" fillId="0" borderId="9" xfId="17" applyNumberFormat="1" applyFont="1" applyFill="1" applyBorder="1" applyAlignment="1">
      <alignment horizontal="left" wrapText="1"/>
    </xf>
    <xf numFmtId="166" fontId="22" fillId="0" borderId="22" xfId="17" applyNumberFormat="1" applyFont="1" applyFill="1" applyBorder="1" applyAlignment="1">
      <alignment horizontal="left" wrapText="1"/>
    </xf>
    <xf numFmtId="0" fontId="22" fillId="0" borderId="3" xfId="17" applyFont="1" applyFill="1" applyBorder="1" applyAlignment="1">
      <alignment horizontal="center" vertical="top" wrapText="1"/>
    </xf>
    <xf numFmtId="0" fontId="98" fillId="7" borderId="3" xfId="0" applyFont="1" applyFill="1" applyBorder="1" applyAlignment="1">
      <alignment horizontal="left" vertical="top" wrapText="1"/>
    </xf>
    <xf numFmtId="0" fontId="18" fillId="2" borderId="1" xfId="17" applyFont="1" applyFill="1" applyBorder="1" applyAlignment="1">
      <alignment horizontal="center" vertical="top" wrapText="1"/>
    </xf>
    <xf numFmtId="0" fontId="18" fillId="0" borderId="37" xfId="17" applyFont="1" applyFill="1" applyBorder="1" applyAlignment="1">
      <alignment horizontal="center" vertical="top"/>
    </xf>
    <xf numFmtId="0" fontId="18" fillId="0" borderId="104" xfId="17" applyFont="1" applyFill="1" applyBorder="1" applyAlignment="1">
      <alignment horizontal="left" vertical="top" wrapText="1"/>
    </xf>
    <xf numFmtId="0" fontId="18" fillId="0" borderId="3" xfId="0" applyFont="1" applyBorder="1" applyAlignment="1">
      <alignment vertical="top" wrapText="1"/>
    </xf>
    <xf numFmtId="0" fontId="18" fillId="0" borderId="3" xfId="0" applyFont="1" applyFill="1" applyBorder="1" applyAlignment="1">
      <alignment vertical="top" wrapText="1"/>
    </xf>
    <xf numFmtId="0" fontId="79" fillId="0" borderId="3" xfId="17" applyFont="1" applyFill="1" applyBorder="1" applyAlignment="1">
      <alignment horizontal="left" vertical="top" wrapText="1"/>
    </xf>
    <xf numFmtId="0" fontId="18" fillId="0" borderId="3" xfId="0" applyFont="1" applyFill="1" applyBorder="1" applyAlignment="1">
      <alignment horizontal="left" vertical="top" wrapText="1"/>
    </xf>
    <xf numFmtId="0" fontId="58" fillId="0" borderId="3" xfId="0" applyFont="1" applyFill="1" applyBorder="1" applyAlignment="1">
      <alignment horizontal="left" vertical="top" wrapText="1"/>
    </xf>
    <xf numFmtId="0" fontId="98" fillId="0" borderId="0" xfId="0" applyFont="1" applyFill="1" applyBorder="1" applyAlignment="1">
      <alignment horizontal="left" vertical="top" wrapText="1"/>
    </xf>
    <xf numFmtId="0" fontId="18" fillId="0" borderId="3" xfId="17" applyFont="1" applyFill="1" applyBorder="1" applyAlignment="1">
      <alignment horizontal="left" wrapText="1"/>
    </xf>
    <xf numFmtId="0" fontId="19" fillId="0" borderId="22" xfId="0" applyFont="1" applyFill="1" applyBorder="1" applyAlignment="1">
      <alignment wrapText="1"/>
    </xf>
    <xf numFmtId="0" fontId="18" fillId="0" borderId="0" xfId="17" applyFont="1" applyFill="1" applyBorder="1" applyAlignment="1">
      <alignment horizontal="left" vertical="center" wrapText="1"/>
    </xf>
    <xf numFmtId="0" fontId="79" fillId="2" borderId="3" xfId="17" applyFont="1" applyFill="1" applyBorder="1" applyAlignment="1">
      <alignment horizontal="left" vertical="center" wrapText="1"/>
    </xf>
    <xf numFmtId="166" fontId="22" fillId="0" borderId="100" xfId="17" applyNumberFormat="1" applyFont="1" applyFill="1" applyBorder="1" applyAlignment="1">
      <alignment horizontal="left" wrapText="1"/>
    </xf>
    <xf numFmtId="166" fontId="22" fillId="0" borderId="101" xfId="17" applyNumberFormat="1" applyFont="1" applyFill="1" applyBorder="1" applyAlignment="1">
      <alignment horizontal="left" wrapText="1"/>
    </xf>
    <xf numFmtId="0" fontId="19" fillId="0" borderId="101" xfId="0" applyFont="1" applyFill="1" applyBorder="1" applyAlignment="1">
      <alignment wrapText="1"/>
    </xf>
    <xf numFmtId="0" fontId="61" fillId="0" borderId="3" xfId="17" applyFont="1" applyFill="1" applyBorder="1" applyAlignment="1">
      <alignment horizontal="left" wrapText="1"/>
    </xf>
    <xf numFmtId="0" fontId="98" fillId="0" borderId="3" xfId="0" applyFont="1" applyFill="1" applyBorder="1" applyAlignment="1">
      <alignment horizontal="left" vertical="top" wrapText="1"/>
    </xf>
    <xf numFmtId="0" fontId="79" fillId="0" borderId="1" xfId="0" applyFont="1" applyFill="1" applyBorder="1" applyAlignment="1">
      <alignment horizontal="left" vertical="top" wrapText="1"/>
    </xf>
    <xf numFmtId="0" fontId="79" fillId="0" borderId="2" xfId="0" applyFont="1" applyFill="1" applyBorder="1" applyAlignment="1">
      <alignment horizontal="left" vertical="top" wrapText="1"/>
    </xf>
    <xf numFmtId="0" fontId="61" fillId="0" borderId="3" xfId="17" applyFont="1" applyFill="1" applyBorder="1" applyAlignment="1">
      <alignment horizontal="left" vertical="top" wrapText="1"/>
    </xf>
    <xf numFmtId="0" fontId="22" fillId="0" borderId="46" xfId="17" applyFont="1" applyFill="1" applyBorder="1" applyAlignment="1">
      <alignment horizontal="center" vertical="center" wrapText="1"/>
    </xf>
    <xf numFmtId="0" fontId="18" fillId="0" borderId="0" xfId="17" applyFont="1" applyFill="1" applyBorder="1" applyAlignment="1">
      <alignment horizontal="left" wrapText="1"/>
    </xf>
    <xf numFmtId="0" fontId="18" fillId="0" borderId="2" xfId="17" applyFont="1" applyFill="1" applyBorder="1" applyAlignment="1">
      <alignment horizontal="left" wrapText="1"/>
    </xf>
    <xf numFmtId="0" fontId="68" fillId="0" borderId="3" xfId="0" applyFont="1" applyFill="1" applyBorder="1" applyAlignment="1">
      <alignment horizontal="left" vertical="top" wrapText="1"/>
    </xf>
    <xf numFmtId="0" fontId="68" fillId="0" borderId="3" xfId="0" applyFont="1" applyFill="1" applyBorder="1" applyAlignment="1">
      <alignment vertical="top" wrapText="1"/>
    </xf>
    <xf numFmtId="0" fontId="18" fillId="0" borderId="2" xfId="0" applyFont="1" applyFill="1" applyBorder="1" applyAlignment="1">
      <alignment vertical="top" wrapText="1"/>
    </xf>
    <xf numFmtId="0" fontId="18" fillId="0" borderId="112" xfId="0" applyFont="1" applyFill="1" applyBorder="1" applyAlignment="1">
      <alignment horizontal="left" vertical="top" wrapText="1"/>
    </xf>
    <xf numFmtId="0" fontId="22" fillId="0" borderId="8" xfId="17" applyFont="1" applyFill="1" applyBorder="1" applyAlignment="1">
      <alignment horizontal="center" vertical="center" wrapText="1"/>
    </xf>
    <xf numFmtId="0" fontId="18" fillId="0" borderId="3" xfId="0" applyFont="1" applyFill="1" applyBorder="1" applyAlignment="1">
      <alignment horizontal="left" vertical="center" wrapText="1"/>
    </xf>
    <xf numFmtId="0" fontId="22" fillId="0" borderId="1" xfId="17" applyFont="1" applyFill="1" applyBorder="1" applyAlignment="1">
      <alignment horizontal="center" vertical="center" wrapText="1"/>
    </xf>
    <xf numFmtId="0" fontId="18" fillId="0" borderId="20" xfId="0" applyFont="1" applyFill="1" applyBorder="1" applyAlignment="1">
      <alignment horizontal="left" vertical="top" wrapText="1"/>
    </xf>
    <xf numFmtId="166" fontId="97" fillId="0" borderId="102" xfId="17" applyNumberFormat="1" applyFont="1" applyFill="1" applyBorder="1" applyAlignment="1">
      <alignment horizontal="left" wrapText="1"/>
    </xf>
    <xf numFmtId="166" fontId="22" fillId="0" borderId="10" xfId="17" applyNumberFormat="1" applyFont="1" applyFill="1" applyBorder="1" applyAlignment="1">
      <alignment horizontal="left" wrapText="1"/>
    </xf>
    <xf numFmtId="0" fontId="97" fillId="0" borderId="3" xfId="17" applyFont="1" applyFill="1" applyBorder="1" applyAlignment="1">
      <alignment horizontal="center" vertical="top" wrapText="1"/>
    </xf>
    <xf numFmtId="0" fontId="97" fillId="0" borderId="6" xfId="17" applyFont="1" applyFill="1" applyBorder="1" applyAlignment="1">
      <alignment horizontal="center" vertical="top" wrapText="1"/>
    </xf>
    <xf numFmtId="0" fontId="18" fillId="0" borderId="1" xfId="17" applyFont="1" applyFill="1" applyBorder="1" applyAlignment="1">
      <alignment horizontal="center" wrapText="1"/>
    </xf>
    <xf numFmtId="0" fontId="18" fillId="0" borderId="2" xfId="17" applyFont="1" applyFill="1" applyBorder="1" applyAlignment="1">
      <alignment horizontal="center" wrapText="1"/>
    </xf>
    <xf numFmtId="0" fontId="22" fillId="0" borderId="9" xfId="17" applyFont="1" applyFill="1" applyBorder="1" applyAlignment="1">
      <alignment horizontal="center"/>
    </xf>
    <xf numFmtId="0" fontId="22" fillId="0" borderId="10" xfId="17" applyFont="1" applyFill="1" applyBorder="1" applyAlignment="1">
      <alignment horizontal="center"/>
    </xf>
    <xf numFmtId="0" fontId="18" fillId="0" borderId="2" xfId="0" applyFont="1" applyFill="1" applyBorder="1" applyAlignment="1">
      <alignment horizontal="left" wrapText="1"/>
    </xf>
    <xf numFmtId="0" fontId="18" fillId="0" borderId="1" xfId="0" applyFont="1" applyFill="1" applyBorder="1" applyAlignment="1">
      <alignment vertical="top" wrapText="1"/>
    </xf>
    <xf numFmtId="0" fontId="98" fillId="0" borderId="1" xfId="17" applyFont="1" applyFill="1" applyBorder="1" applyAlignment="1">
      <alignment horizontal="left" vertical="top" wrapText="1"/>
    </xf>
    <xf numFmtId="0" fontId="98" fillId="0" borderId="2" xfId="17" applyFont="1" applyFill="1" applyBorder="1" applyAlignment="1">
      <alignment horizontal="left" vertical="top" wrapText="1"/>
    </xf>
    <xf numFmtId="0" fontId="98" fillId="0" borderId="0" xfId="17" applyFont="1" applyFill="1" applyBorder="1" applyAlignment="1">
      <alignment vertical="top" wrapText="1"/>
    </xf>
    <xf numFmtId="0" fontId="98" fillId="0" borderId="104" xfId="17" applyFont="1" applyFill="1" applyBorder="1" applyAlignment="1">
      <alignment vertical="top" wrapText="1"/>
    </xf>
    <xf numFmtId="0" fontId="97" fillId="0" borderId="2" xfId="17" applyFont="1" applyFill="1" applyBorder="1" applyAlignment="1">
      <alignment horizontal="center"/>
    </xf>
    <xf numFmtId="0" fontId="100" fillId="0" borderId="104" xfId="17" applyFont="1" applyFill="1" applyBorder="1" applyAlignment="1">
      <alignment horizontal="left" vertical="center" wrapText="1"/>
    </xf>
    <xf numFmtId="0" fontId="18" fillId="0" borderId="1" xfId="17" applyFont="1" applyFill="1" applyBorder="1" applyAlignment="1">
      <alignment vertical="top" wrapText="1"/>
    </xf>
    <xf numFmtId="0" fontId="18" fillId="0" borderId="0" xfId="17" applyFont="1" applyFill="1" applyBorder="1" applyAlignment="1">
      <alignment vertical="top" wrapText="1"/>
    </xf>
    <xf numFmtId="0" fontId="18" fillId="0" borderId="2" xfId="17" applyFont="1" applyFill="1" applyBorder="1" applyAlignment="1">
      <alignment vertical="top" wrapText="1"/>
    </xf>
    <xf numFmtId="166" fontId="97" fillId="0" borderId="100" xfId="17" applyNumberFormat="1" applyFont="1" applyFill="1" applyBorder="1" applyAlignment="1">
      <alignment horizontal="left" wrapText="1"/>
    </xf>
    <xf numFmtId="0" fontId="98" fillId="0" borderId="103" xfId="17" applyFont="1" applyFill="1" applyBorder="1" applyAlignment="1">
      <alignment vertical="top" wrapText="1"/>
    </xf>
    <xf numFmtId="0" fontId="18" fillId="0" borderId="6" xfId="0" applyFont="1" applyFill="1" applyBorder="1" applyAlignment="1">
      <alignment horizontal="left" vertical="top" wrapText="1"/>
    </xf>
    <xf numFmtId="0" fontId="68" fillId="0" borderId="6" xfId="0" applyFont="1" applyFill="1" applyBorder="1" applyAlignment="1">
      <alignment horizontal="left" vertical="top" wrapText="1"/>
    </xf>
    <xf numFmtId="0" fontId="22" fillId="0" borderId="3" xfId="17" applyFont="1" applyFill="1" applyBorder="1" applyAlignment="1">
      <alignment horizontal="center" vertical="center" wrapText="1"/>
    </xf>
    <xf numFmtId="0" fontId="22" fillId="0" borderId="9" xfId="17" applyFont="1" applyFill="1" applyBorder="1" applyAlignment="1">
      <alignment horizontal="center" vertical="center" wrapText="1"/>
    </xf>
    <xf numFmtId="0" fontId="97" fillId="0" borderId="2" xfId="17" applyFont="1" applyFill="1" applyBorder="1" applyAlignment="1">
      <alignment horizontal="center" vertical="top" wrapText="1"/>
    </xf>
    <xf numFmtId="0" fontId="98" fillId="0" borderId="3" xfId="0" applyFont="1" applyFill="1" applyBorder="1" applyAlignment="1">
      <alignment vertical="top" wrapText="1"/>
    </xf>
    <xf numFmtId="0" fontId="98" fillId="0" borderId="1" xfId="0" applyFont="1" applyFill="1" applyBorder="1" applyAlignment="1">
      <alignment vertical="top" wrapText="1"/>
    </xf>
    <xf numFmtId="0" fontId="98" fillId="0" borderId="103" xfId="0" applyFont="1" applyFill="1" applyBorder="1" applyAlignment="1">
      <alignment horizontal="left" vertical="top" wrapText="1"/>
    </xf>
    <xf numFmtId="0" fontId="98" fillId="0" borderId="112" xfId="0" applyFont="1" applyFill="1" applyBorder="1" applyAlignment="1">
      <alignment vertical="top" wrapText="1"/>
    </xf>
    <xf numFmtId="0" fontId="97" fillId="0" borderId="112" xfId="17" applyFont="1" applyFill="1" applyBorder="1" applyAlignment="1">
      <alignment horizontal="center" vertical="center" wrapText="1"/>
    </xf>
    <xf numFmtId="0" fontId="97" fillId="0" borderId="114" xfId="17" applyFont="1" applyFill="1" applyBorder="1" applyAlignment="1">
      <alignment horizontal="center" vertical="center" wrapText="1"/>
    </xf>
    <xf numFmtId="0" fontId="98" fillId="0" borderId="103" xfId="17" applyFont="1" applyFill="1" applyBorder="1" applyAlignment="1">
      <alignment horizontal="left" vertical="top" wrapText="1"/>
    </xf>
    <xf numFmtId="1" fontId="18" fillId="0" borderId="3" xfId="3" applyNumberFormat="1" applyFont="1" applyFill="1" applyBorder="1" applyAlignment="1">
      <alignment horizontal="left" vertical="top" wrapText="1"/>
    </xf>
    <xf numFmtId="0" fontId="79" fillId="0" borderId="3" xfId="10" applyFont="1" applyBorder="1" applyAlignment="1">
      <alignment horizontal="left" vertical="top" wrapText="1"/>
    </xf>
    <xf numFmtId="0" fontId="18" fillId="0" borderId="103" xfId="17" applyFont="1" applyFill="1" applyBorder="1" applyAlignment="1">
      <alignment horizontal="left" vertical="top"/>
    </xf>
    <xf numFmtId="0" fontId="18" fillId="0" borderId="103" xfId="17" applyFont="1" applyFill="1" applyBorder="1" applyAlignment="1">
      <alignment horizontal="left" vertical="top" wrapText="1"/>
    </xf>
    <xf numFmtId="0" fontId="98" fillId="0" borderId="3" xfId="10" applyFont="1" applyBorder="1" applyAlignment="1">
      <alignment horizontal="left" vertical="top" wrapText="1"/>
    </xf>
    <xf numFmtId="166" fontId="18" fillId="0" borderId="9" xfId="17" applyNumberFormat="1" applyFont="1" applyFill="1" applyBorder="1" applyAlignment="1">
      <alignment horizontal="left"/>
    </xf>
    <xf numFmtId="166" fontId="18" fillId="0" borderId="10" xfId="17" applyNumberFormat="1" applyFont="1" applyFill="1" applyBorder="1" applyAlignment="1">
      <alignment horizontal="left"/>
    </xf>
    <xf numFmtId="1" fontId="98" fillId="0" borderId="112" xfId="3" applyNumberFormat="1" applyFont="1" applyFill="1" applyBorder="1" applyAlignment="1">
      <alignment horizontal="left" vertical="top" wrapText="1"/>
    </xf>
    <xf numFmtId="0" fontId="98" fillId="0" borderId="112" xfId="17" applyFont="1" applyFill="1" applyBorder="1" applyAlignment="1">
      <alignment horizontal="left" vertical="center" wrapText="1"/>
    </xf>
    <xf numFmtId="0" fontId="59" fillId="0" borderId="22" xfId="10" applyFont="1" applyFill="1" applyBorder="1" applyAlignment="1"/>
    <xf numFmtId="0" fontId="18" fillId="0" borderId="3" xfId="17" applyFont="1" applyFill="1" applyBorder="1" applyAlignment="1">
      <alignment vertical="top" wrapText="1"/>
    </xf>
    <xf numFmtId="0" fontId="19" fillId="0" borderId="3" xfId="10" applyFont="1" applyBorder="1" applyAlignment="1">
      <alignment wrapText="1"/>
    </xf>
    <xf numFmtId="0" fontId="18" fillId="0" borderId="2" xfId="10" applyFont="1" applyBorder="1" applyAlignment="1">
      <alignment horizontal="left" vertical="top" wrapText="1"/>
    </xf>
    <xf numFmtId="0" fontId="19" fillId="0" borderId="3" xfId="0" applyFont="1" applyBorder="1" applyAlignment="1">
      <alignment vertical="top" wrapText="1"/>
    </xf>
    <xf numFmtId="0" fontId="79" fillId="0" borderId="3" xfId="10" applyFont="1" applyBorder="1" applyAlignment="1">
      <alignment horizontal="left" wrapText="1"/>
    </xf>
    <xf numFmtId="0" fontId="18" fillId="0" borderId="1" xfId="17" applyFont="1" applyFill="1" applyBorder="1" applyAlignment="1">
      <alignment horizontal="left"/>
    </xf>
    <xf numFmtId="0" fontId="18" fillId="0" borderId="2" xfId="17" applyFont="1" applyFill="1" applyBorder="1" applyAlignment="1">
      <alignment horizontal="left"/>
    </xf>
    <xf numFmtId="0" fontId="98" fillId="0" borderId="112" xfId="17" applyFont="1" applyFill="1" applyBorder="1" applyAlignment="1">
      <alignment horizontal="left" vertical="top" wrapText="1"/>
    </xf>
    <xf numFmtId="0" fontId="98" fillId="0" borderId="1" xfId="0" applyFont="1" applyBorder="1" applyAlignment="1">
      <alignment horizontal="left" vertical="top" wrapText="1"/>
    </xf>
    <xf numFmtId="0" fontId="98" fillId="0" borderId="3" xfId="17" applyFont="1" applyFill="1" applyBorder="1" applyAlignment="1">
      <alignment horizontal="left" wrapText="1"/>
    </xf>
    <xf numFmtId="0" fontId="19" fillId="0" borderId="2" xfId="0" applyFont="1" applyBorder="1" applyAlignment="1">
      <alignment wrapText="1"/>
    </xf>
    <xf numFmtId="166" fontId="18" fillId="0" borderId="22" xfId="17" applyNumberFormat="1" applyFont="1" applyFill="1" applyBorder="1" applyAlignment="1">
      <alignment horizontal="left"/>
    </xf>
    <xf numFmtId="0" fontId="18" fillId="0" borderId="8" xfId="0" applyFont="1" applyBorder="1" applyAlignment="1">
      <alignment horizontal="left" vertical="top" wrapText="1"/>
    </xf>
    <xf numFmtId="0" fontId="18" fillId="0" borderId="0" xfId="0" applyFont="1" applyBorder="1" applyAlignment="1">
      <alignment horizontal="left" vertical="top" wrapText="1"/>
    </xf>
    <xf numFmtId="0" fontId="79" fillId="0" borderId="3" xfId="0" applyFont="1" applyFill="1" applyBorder="1" applyAlignment="1">
      <alignment horizontal="left" vertical="top" wrapText="1"/>
    </xf>
    <xf numFmtId="0" fontId="18" fillId="0" borderId="3" xfId="0" applyFont="1" applyBorder="1" applyAlignment="1">
      <alignment horizontal="left" vertical="center" wrapText="1"/>
    </xf>
    <xf numFmtId="0" fontId="18" fillId="0" borderId="12" xfId="0" applyFont="1" applyBorder="1" applyAlignment="1">
      <alignment horizontal="left" vertical="top" wrapText="1"/>
    </xf>
    <xf numFmtId="0" fontId="61" fillId="0" borderId="8" xfId="0" applyFont="1" applyBorder="1" applyAlignment="1">
      <alignment horizontal="left" vertical="top" wrapText="1"/>
    </xf>
    <xf numFmtId="0" fontId="61" fillId="0" borderId="3" xfId="0" applyFont="1" applyBorder="1" applyAlignment="1">
      <alignment horizontal="left" vertical="top" wrapText="1"/>
    </xf>
    <xf numFmtId="0" fontId="61" fillId="0" borderId="2" xfId="0" applyFont="1" applyBorder="1" applyAlignment="1">
      <alignment horizontal="left" vertical="top" wrapText="1"/>
    </xf>
    <xf numFmtId="0" fontId="98" fillId="0" borderId="8" xfId="0" applyFont="1" applyBorder="1" applyAlignment="1">
      <alignment horizontal="left" vertical="top" wrapText="1"/>
    </xf>
    <xf numFmtId="0" fontId="22" fillId="0" borderId="45" xfId="0" applyFont="1" applyFill="1" applyBorder="1" applyAlignment="1">
      <alignment horizontal="center" vertical="top" wrapText="1"/>
    </xf>
    <xf numFmtId="0" fontId="18" fillId="0" borderId="37" xfId="0" applyFont="1" applyFill="1" applyBorder="1" applyAlignment="1">
      <alignment horizontal="center" vertical="top" wrapText="1"/>
    </xf>
    <xf numFmtId="0" fontId="18" fillId="0" borderId="5" xfId="0" applyFont="1" applyFill="1" applyBorder="1" applyAlignment="1">
      <alignment horizontal="center" vertical="top" wrapText="1"/>
    </xf>
    <xf numFmtId="0" fontId="22" fillId="0" borderId="18" xfId="0" applyFont="1" applyFill="1" applyBorder="1" applyAlignment="1">
      <alignment horizontal="center" vertical="top" wrapText="1"/>
    </xf>
    <xf numFmtId="166" fontId="22" fillId="2" borderId="37" xfId="17" applyNumberFormat="1" applyFont="1" applyFill="1" applyBorder="1" applyAlignment="1">
      <alignment horizontal="left" vertical="top"/>
    </xf>
    <xf numFmtId="0" fontId="18" fillId="0" borderId="6" xfId="0" applyFont="1" applyFill="1" applyBorder="1" applyAlignment="1">
      <alignment horizontal="left" vertical="center" wrapText="1"/>
    </xf>
    <xf numFmtId="0" fontId="18" fillId="0" borderId="0" xfId="11" applyFont="1" applyBorder="1" applyAlignment="1">
      <alignment horizontal="left" vertical="top" wrapText="1"/>
    </xf>
    <xf numFmtId="0" fontId="27" fillId="0" borderId="0" xfId="11" applyFont="1" applyBorder="1" applyAlignment="1">
      <alignment horizontal="left" vertical="center" wrapText="1"/>
    </xf>
    <xf numFmtId="0" fontId="61" fillId="0" borderId="0" xfId="11" applyFont="1" applyBorder="1" applyAlignment="1">
      <alignment horizontal="left" vertical="center" wrapText="1"/>
    </xf>
    <xf numFmtId="0" fontId="5" fillId="0" borderId="3" xfId="0" applyFont="1" applyBorder="1" applyAlignment="1">
      <alignment horizontal="left" vertical="top" wrapText="1"/>
    </xf>
    <xf numFmtId="0" fontId="5" fillId="0" borderId="6" xfId="0" applyFont="1" applyBorder="1" applyAlignment="1">
      <alignment horizontal="left" vertical="top" wrapText="1"/>
    </xf>
    <xf numFmtId="0" fontId="5" fillId="0" borderId="3" xfId="0" applyFont="1" applyBorder="1" applyAlignment="1">
      <alignment horizontal="center" vertical="center" wrapText="1"/>
    </xf>
    <xf numFmtId="0" fontId="18" fillId="0" borderId="3" xfId="10" applyFont="1" applyFill="1" applyBorder="1" applyAlignment="1">
      <alignment horizontal="left" wrapText="1"/>
    </xf>
    <xf numFmtId="0" fontId="67" fillId="0" borderId="3" xfId="0" applyFont="1" applyBorder="1" applyAlignment="1">
      <alignment horizontal="center" vertical="center"/>
    </xf>
    <xf numFmtId="0" fontId="18" fillId="0" borderId="0" xfId="0" applyFont="1" applyBorder="1" applyAlignment="1">
      <alignment horizontal="left" vertical="center" wrapText="1"/>
    </xf>
    <xf numFmtId="0" fontId="18" fillId="0" borderId="0" xfId="17" applyFont="1" applyBorder="1" applyAlignment="1">
      <alignment horizontal="left" vertical="top" wrapText="1"/>
    </xf>
    <xf numFmtId="0" fontId="18" fillId="7" borderId="3" xfId="0" applyFont="1" applyFill="1" applyBorder="1" applyAlignment="1">
      <alignment horizontal="left" vertical="top" wrapText="1"/>
    </xf>
    <xf numFmtId="0" fontId="18" fillId="0" borderId="36" xfId="0" applyFont="1" applyFill="1" applyBorder="1" applyAlignment="1">
      <alignment horizontal="center"/>
    </xf>
    <xf numFmtId="0" fontId="18" fillId="0" borderId="5" xfId="0" applyFont="1" applyFill="1" applyBorder="1" applyAlignment="1">
      <alignment horizontal="center"/>
    </xf>
    <xf numFmtId="0" fontId="19" fillId="7" borderId="5" xfId="0" applyFont="1" applyFill="1" applyBorder="1" applyAlignment="1">
      <alignment horizontal="center"/>
    </xf>
    <xf numFmtId="1" fontId="6" fillId="7" borderId="0" xfId="3" applyNumberFormat="1" applyFont="1" applyFill="1" applyBorder="1" applyAlignment="1">
      <alignment horizontal="left" vertical="center"/>
    </xf>
    <xf numFmtId="0" fontId="18" fillId="7" borderId="2" xfId="0" applyFont="1" applyFill="1" applyBorder="1" applyAlignment="1">
      <alignment horizontal="left" vertical="top" wrapText="1"/>
    </xf>
    <xf numFmtId="0" fontId="18" fillId="7" borderId="1" xfId="0" applyFont="1" applyFill="1" applyBorder="1" applyAlignment="1">
      <alignment horizontal="left" vertical="top" wrapText="1"/>
    </xf>
    <xf numFmtId="0" fontId="18" fillId="0" borderId="3" xfId="0" applyFont="1" applyFill="1" applyBorder="1" applyAlignment="1">
      <alignment horizontal="center" vertical="top" wrapText="1"/>
    </xf>
    <xf numFmtId="0" fontId="18" fillId="7" borderId="0" xfId="0" applyFont="1" applyFill="1" applyBorder="1" applyAlignment="1">
      <alignment horizontal="left" vertical="top" wrapText="1"/>
    </xf>
    <xf numFmtId="166" fontId="18" fillId="7" borderId="9" xfId="17" applyNumberFormat="1" applyFont="1" applyFill="1" applyBorder="1" applyAlignment="1">
      <alignment horizontal="left"/>
    </xf>
    <xf numFmtId="166" fontId="18" fillId="7" borderId="22" xfId="17" applyNumberFormat="1" applyFont="1" applyFill="1" applyBorder="1" applyAlignment="1">
      <alignment horizontal="left"/>
    </xf>
    <xf numFmtId="166" fontId="18" fillId="7" borderId="9" xfId="17" applyNumberFormat="1" applyFont="1" applyFill="1" applyBorder="1" applyAlignment="1">
      <alignment horizontal="left" vertical="top"/>
    </xf>
    <xf numFmtId="0" fontId="18" fillId="0" borderId="0" xfId="17" applyFont="1" applyBorder="1" applyAlignment="1">
      <alignment horizontal="left" wrapText="1"/>
    </xf>
    <xf numFmtId="0" fontId="18" fillId="0" borderId="2" xfId="17" applyFont="1" applyBorder="1" applyAlignment="1">
      <alignment horizontal="left" wrapText="1"/>
    </xf>
    <xf numFmtId="0" fontId="18" fillId="0" borderId="0" xfId="17" applyFont="1" applyFill="1" applyBorder="1" applyAlignment="1">
      <alignment horizontal="center"/>
    </xf>
    <xf numFmtId="0" fontId="18" fillId="0" borderId="0" xfId="17" applyFont="1" applyFill="1" applyBorder="1" applyAlignment="1">
      <alignment horizontal="left" vertical="top"/>
    </xf>
    <xf numFmtId="0" fontId="18" fillId="0" borderId="2" xfId="17" applyFont="1" applyFill="1" applyBorder="1" applyAlignment="1">
      <alignment horizontal="left" vertical="top"/>
    </xf>
    <xf numFmtId="0" fontId="18" fillId="0" borderId="24" xfId="17" applyFont="1" applyFill="1" applyBorder="1" applyAlignment="1">
      <alignment horizontal="left"/>
    </xf>
    <xf numFmtId="0" fontId="22" fillId="0" borderId="0" xfId="17" applyFont="1" applyFill="1" applyBorder="1" applyAlignment="1">
      <alignment horizontal="center"/>
    </xf>
    <xf numFmtId="0" fontId="18" fillId="0" borderId="22" xfId="17" applyFont="1" applyFill="1" applyBorder="1" applyAlignment="1">
      <alignment horizontal="left" vertical="top"/>
    </xf>
    <xf numFmtId="0" fontId="18" fillId="0" borderId="10" xfId="17" applyFont="1" applyFill="1" applyBorder="1" applyAlignment="1">
      <alignment horizontal="left" vertical="top"/>
    </xf>
    <xf numFmtId="0" fontId="18" fillId="0" borderId="37" xfId="0" applyFont="1" applyBorder="1" applyAlignment="1">
      <alignment horizontal="center" vertical="top" wrapText="1"/>
    </xf>
    <xf numFmtId="0" fontId="18" fillId="0" borderId="36" xfId="0" applyFont="1" applyFill="1" applyBorder="1" applyAlignment="1">
      <alignment horizontal="left" wrapText="1"/>
    </xf>
    <xf numFmtId="0" fontId="18" fillId="0" borderId="3" xfId="0" applyFont="1" applyFill="1" applyBorder="1" applyAlignment="1">
      <alignment horizontal="left" wrapText="1"/>
    </xf>
    <xf numFmtId="0" fontId="18" fillId="0" borderId="3" xfId="0" applyFont="1" applyBorder="1" applyAlignment="1">
      <alignment horizontal="left" wrapText="1"/>
    </xf>
    <xf numFmtId="1" fontId="18" fillId="0" borderId="104" xfId="3" applyNumberFormat="1" applyFont="1" applyFill="1" applyBorder="1" applyAlignment="1">
      <alignment horizontal="left" vertical="top" wrapText="1"/>
    </xf>
    <xf numFmtId="0" fontId="98" fillId="0" borderId="111" xfId="17" applyFont="1" applyFill="1" applyBorder="1" applyAlignment="1">
      <alignment horizontal="left" vertical="top" wrapText="1"/>
    </xf>
    <xf numFmtId="166" fontId="22" fillId="0" borderId="9" xfId="17" applyNumberFormat="1" applyFont="1" applyFill="1" applyBorder="1" applyAlignment="1">
      <alignment horizontal="left"/>
    </xf>
    <xf numFmtId="166" fontId="22" fillId="0" borderId="22" xfId="17" applyNumberFormat="1" applyFont="1" applyFill="1" applyBorder="1" applyAlignment="1">
      <alignment horizontal="left"/>
    </xf>
    <xf numFmtId="0" fontId="18" fillId="0" borderId="3" xfId="17" applyFont="1" applyFill="1" applyBorder="1" applyAlignment="1">
      <alignment horizontal="center" vertical="center"/>
    </xf>
    <xf numFmtId="0" fontId="18" fillId="0" borderId="6" xfId="17" applyFont="1" applyFill="1" applyBorder="1" applyAlignment="1">
      <alignment horizontal="center" vertical="center"/>
    </xf>
    <xf numFmtId="0" fontId="6" fillId="0" borderId="0" xfId="0" applyFont="1" applyAlignment="1">
      <alignment horizontal="left"/>
    </xf>
    <xf numFmtId="0" fontId="18" fillId="0" borderId="4" xfId="0" applyFont="1" applyFill="1" applyBorder="1" applyAlignment="1">
      <alignment horizontal="center" vertical="center" wrapText="1"/>
    </xf>
    <xf numFmtId="0" fontId="61" fillId="0" borderId="8" xfId="0" applyFont="1" applyBorder="1" applyAlignment="1">
      <alignment vertical="top" wrapText="1"/>
    </xf>
    <xf numFmtId="0" fontId="61" fillId="0" borderId="3" xfId="0" applyFont="1" applyBorder="1" applyAlignment="1">
      <alignment vertical="top" wrapText="1"/>
    </xf>
    <xf numFmtId="0" fontId="18" fillId="0" borderId="37" xfId="0" applyFont="1" applyFill="1" applyBorder="1" applyAlignment="1">
      <alignment horizontal="center" vertical="center" wrapText="1"/>
    </xf>
    <xf numFmtId="166" fontId="22" fillId="0" borderId="4" xfId="17" applyNumberFormat="1" applyFont="1" applyFill="1" applyBorder="1" applyAlignment="1">
      <alignment horizontal="center" vertical="top"/>
    </xf>
    <xf numFmtId="0" fontId="18" fillId="0" borderId="23" xfId="0" applyFont="1" applyBorder="1" applyAlignment="1">
      <alignment horizontal="left" vertical="top" wrapText="1"/>
    </xf>
    <xf numFmtId="0" fontId="18" fillId="0" borderId="5" xfId="0" applyFont="1" applyFill="1" applyBorder="1" applyAlignment="1">
      <alignment horizontal="center" vertical="center" wrapText="1"/>
    </xf>
    <xf numFmtId="0" fontId="98" fillId="0" borderId="12" xfId="0" applyFont="1" applyBorder="1" applyAlignment="1">
      <alignment horizontal="left" vertical="top" wrapText="1"/>
    </xf>
    <xf numFmtId="166" fontId="22" fillId="2" borderId="4" xfId="17" applyNumberFormat="1" applyFont="1" applyFill="1" applyBorder="1" applyAlignment="1">
      <alignment horizontal="center" vertical="top"/>
    </xf>
    <xf numFmtId="166" fontId="22" fillId="2" borderId="36" xfId="17" applyNumberFormat="1" applyFont="1" applyFill="1" applyBorder="1" applyAlignment="1">
      <alignment horizontal="center" vertical="top"/>
    </xf>
    <xf numFmtId="166" fontId="22" fillId="2" borderId="5" xfId="17" applyNumberFormat="1" applyFont="1" applyFill="1" applyBorder="1" applyAlignment="1">
      <alignment horizontal="center" vertical="top"/>
    </xf>
    <xf numFmtId="0" fontId="61" fillId="0" borderId="6" xfId="0" applyFont="1" applyBorder="1" applyAlignment="1">
      <alignment horizontal="left" vertical="top" wrapText="1"/>
    </xf>
    <xf numFmtId="0" fontId="18" fillId="0" borderId="4" xfId="0" applyFont="1" applyBorder="1" applyAlignment="1">
      <alignment horizontal="left" vertical="top" wrapText="1"/>
    </xf>
    <xf numFmtId="0" fontId="18" fillId="0" borderId="6" xfId="0" applyFont="1" applyBorder="1" applyAlignment="1">
      <alignment horizontal="center" vertical="top" wrapText="1"/>
    </xf>
    <xf numFmtId="0" fontId="61" fillId="0" borderId="9" xfId="0" applyFont="1" applyBorder="1" applyAlignment="1">
      <alignment horizontal="left" vertical="top" wrapText="1"/>
    </xf>
    <xf numFmtId="0" fontId="61" fillId="0" borderId="23" xfId="0" applyFont="1" applyBorder="1" applyAlignment="1">
      <alignment horizontal="left" vertical="top" wrapText="1"/>
    </xf>
    <xf numFmtId="166" fontId="22" fillId="0" borderId="5" xfId="17" applyNumberFormat="1" applyFont="1" applyFill="1" applyBorder="1" applyAlignment="1">
      <alignment horizontal="center" vertical="top"/>
    </xf>
    <xf numFmtId="0" fontId="61" fillId="0" borderId="10" xfId="0" applyFont="1" applyBorder="1" applyAlignment="1">
      <alignment horizontal="left" vertical="top" wrapText="1"/>
    </xf>
    <xf numFmtId="0" fontId="61" fillId="0" borderId="12" xfId="0" applyFont="1" applyBorder="1" applyAlignment="1">
      <alignment horizontal="left" vertical="top" wrapText="1"/>
    </xf>
    <xf numFmtId="0" fontId="18" fillId="0" borderId="4" xfId="0" applyFont="1" applyBorder="1" applyAlignment="1">
      <alignment horizontal="left" vertical="top"/>
    </xf>
    <xf numFmtId="0" fontId="18" fillId="0" borderId="4" xfId="0" applyFont="1" applyFill="1" applyBorder="1" applyAlignment="1">
      <alignment horizontal="left" vertical="top" wrapText="1"/>
    </xf>
    <xf numFmtId="0" fontId="18" fillId="0" borderId="4" xfId="13" applyFont="1" applyBorder="1" applyAlignment="1">
      <alignment horizontal="left" vertical="top" wrapText="1"/>
    </xf>
    <xf numFmtId="166" fontId="67" fillId="0" borderId="9" xfId="0" applyNumberFormat="1" applyFont="1" applyBorder="1" applyAlignment="1">
      <alignment horizontal="center" vertical="top" wrapText="1"/>
    </xf>
    <xf numFmtId="166" fontId="67" fillId="0" borderId="22" xfId="0" applyNumberFormat="1" applyFont="1" applyBorder="1" applyAlignment="1">
      <alignment horizontal="center" vertical="top" wrapText="1"/>
    </xf>
    <xf numFmtId="0" fontId="61" fillId="0" borderId="6" xfId="0" applyFont="1" applyBorder="1" applyAlignment="1">
      <alignment horizontal="center" vertical="top" wrapText="1"/>
    </xf>
    <xf numFmtId="0" fontId="61" fillId="0" borderId="37" xfId="0" applyFont="1" applyBorder="1" applyAlignment="1">
      <alignment horizontal="center" vertical="top" wrapText="1"/>
    </xf>
    <xf numFmtId="0" fontId="61" fillId="0" borderId="36" xfId="0" applyFont="1" applyBorder="1" applyAlignment="1">
      <alignment horizontal="center" vertical="top" wrapText="1"/>
    </xf>
    <xf numFmtId="0" fontId="61" fillId="0" borderId="36" xfId="0" applyFont="1" applyBorder="1" applyAlignment="1">
      <alignment horizontal="left" vertical="top" wrapText="1"/>
    </xf>
    <xf numFmtId="166" fontId="97" fillId="0" borderId="9" xfId="17" applyNumberFormat="1" applyFont="1" applyFill="1" applyBorder="1" applyAlignment="1">
      <alignment horizontal="left"/>
    </xf>
    <xf numFmtId="166" fontId="22" fillId="0" borderId="0" xfId="17" applyNumberFormat="1" applyFont="1" applyFill="1" applyBorder="1" applyAlignment="1">
      <alignment horizontal="left"/>
    </xf>
    <xf numFmtId="0" fontId="61" fillId="0" borderId="0" xfId="0" applyFont="1" applyBorder="1" applyAlignment="1">
      <alignment horizontal="center" vertical="top" wrapText="1"/>
    </xf>
    <xf numFmtId="0" fontId="61" fillId="0" borderId="23" xfId="0" applyFont="1" applyBorder="1" applyAlignment="1">
      <alignment horizontal="center" vertical="top" wrapText="1"/>
    </xf>
    <xf numFmtId="0" fontId="61" fillId="0" borderId="12" xfId="0" applyFont="1" applyBorder="1" applyAlignment="1">
      <alignment horizontal="center" vertical="top" wrapText="1"/>
    </xf>
    <xf numFmtId="0" fontId="98" fillId="0" borderId="23" xfId="0" applyFont="1" applyBorder="1" applyAlignment="1">
      <alignment horizontal="left" vertical="top" wrapText="1"/>
    </xf>
    <xf numFmtId="0" fontId="18" fillId="5" borderId="31" xfId="17" applyFont="1" applyFill="1" applyBorder="1" applyAlignment="1">
      <alignment horizontal="center" vertical="center"/>
    </xf>
    <xf numFmtId="0" fontId="18" fillId="0" borderId="3" xfId="0" applyFont="1" applyBorder="1" applyAlignment="1">
      <alignment horizontal="left" vertical="top" wrapText="1"/>
    </xf>
    <xf numFmtId="0" fontId="18" fillId="0" borderId="112" xfId="0" applyFont="1" applyBorder="1" applyAlignment="1">
      <alignment horizontal="left" vertical="top" wrapText="1"/>
    </xf>
    <xf numFmtId="0" fontId="18" fillId="0" borderId="6" xfId="0" applyFont="1" applyBorder="1" applyAlignment="1">
      <alignment horizontal="left" vertical="top" wrapText="1"/>
    </xf>
    <xf numFmtId="0" fontId="61" fillId="0" borderId="2" xfId="0" applyFont="1" applyBorder="1" applyAlignment="1">
      <alignment horizontal="left" vertical="top" wrapText="1"/>
    </xf>
    <xf numFmtId="0" fontId="61" fillId="0" borderId="0" xfId="0" applyFont="1" applyBorder="1" applyAlignment="1">
      <alignment horizontal="left" vertical="top" wrapText="1"/>
    </xf>
    <xf numFmtId="166" fontId="22" fillId="0" borderId="0" xfId="17" applyNumberFormat="1" applyFont="1" applyFill="1" applyBorder="1" applyAlignment="1">
      <alignment horizontal="left"/>
    </xf>
    <xf numFmtId="0" fontId="18" fillId="0" borderId="103" xfId="0" applyFont="1" applyBorder="1" applyAlignment="1">
      <alignment horizontal="left" vertical="top" wrapText="1"/>
    </xf>
    <xf numFmtId="0" fontId="18" fillId="0" borderId="105" xfId="0" applyFont="1" applyBorder="1" applyAlignment="1">
      <alignment horizontal="left" vertical="top" wrapText="1"/>
    </xf>
    <xf numFmtId="0" fontId="18" fillId="0" borderId="106" xfId="0" applyFont="1" applyBorder="1" applyAlignment="1">
      <alignment horizontal="left" vertical="top" wrapText="1"/>
    </xf>
    <xf numFmtId="0" fontId="9" fillId="0" borderId="0" xfId="0" applyFont="1" applyAlignment="1">
      <alignment horizontal="left"/>
    </xf>
    <xf numFmtId="0" fontId="19" fillId="0" borderId="0" xfId="0" applyFont="1" applyAlignment="1">
      <alignment horizontal="left"/>
    </xf>
    <xf numFmtId="0" fontId="22" fillId="0" borderId="0" xfId="0" applyFont="1" applyAlignment="1">
      <alignment horizontal="left"/>
    </xf>
    <xf numFmtId="0" fontId="22" fillId="0" borderId="24" xfId="0" applyFont="1" applyFill="1" applyBorder="1" applyAlignment="1">
      <alignment horizontal="left"/>
    </xf>
    <xf numFmtId="0" fontId="22" fillId="0" borderId="24" xfId="0" applyFont="1" applyBorder="1" applyAlignment="1">
      <alignment horizontal="left"/>
    </xf>
    <xf numFmtId="0" fontId="19" fillId="0" borderId="103" xfId="0" applyFont="1" applyBorder="1" applyAlignment="1">
      <alignment horizontal="left"/>
    </xf>
    <xf numFmtId="0" fontId="18" fillId="0" borderId="0" xfId="0" applyFont="1" applyAlignment="1">
      <alignment horizontal="left"/>
    </xf>
    <xf numFmtId="166" fontId="22" fillId="0" borderId="0" xfId="17" applyNumberFormat="1" applyFont="1" applyAlignment="1">
      <alignment horizontal="left"/>
    </xf>
    <xf numFmtId="0" fontId="18" fillId="0" borderId="0" xfId="0" applyFont="1" applyAlignment="1">
      <alignment horizontal="left" vertical="top" wrapText="1"/>
    </xf>
    <xf numFmtId="0" fontId="22" fillId="0" borderId="157" xfId="0" applyFont="1" applyBorder="1" applyAlignment="1">
      <alignment horizontal="center" vertical="top" wrapText="1"/>
    </xf>
    <xf numFmtId="0" fontId="22" fillId="0" borderId="53" xfId="0" applyFont="1" applyBorder="1" applyAlignment="1">
      <alignment horizontal="center" vertical="top" wrapText="1"/>
    </xf>
    <xf numFmtId="0" fontId="22" fillId="0" borderId="54" xfId="0" applyFont="1" applyBorder="1" applyAlignment="1">
      <alignment horizontal="left" vertical="top" wrapText="1"/>
    </xf>
    <xf numFmtId="0" fontId="22" fillId="0" borderId="51" xfId="0" applyFont="1" applyBorder="1" applyAlignment="1">
      <alignment horizontal="left" vertical="top" wrapText="1"/>
    </xf>
    <xf numFmtId="0" fontId="116" fillId="0" borderId="1" xfId="0" applyFont="1" applyBorder="1"/>
    <xf numFmtId="0" fontId="116" fillId="0" borderId="0" xfId="0" applyFont="1" applyBorder="1"/>
    <xf numFmtId="0" fontId="116" fillId="0" borderId="23" xfId="0" applyFont="1" applyBorder="1"/>
    <xf numFmtId="0" fontId="116" fillId="0" borderId="24" xfId="0" applyFont="1" applyBorder="1"/>
    <xf numFmtId="0" fontId="116" fillId="0" borderId="22" xfId="0" applyFont="1" applyBorder="1"/>
    <xf numFmtId="166" fontId="115" fillId="0" borderId="0" xfId="17" applyNumberFormat="1" applyFont="1" applyFill="1" applyBorder="1" applyAlignment="1"/>
    <xf numFmtId="0" fontId="18" fillId="0" borderId="0" xfId="0" applyFont="1" applyAlignment="1">
      <alignment wrapText="1"/>
    </xf>
    <xf numFmtId="0" fontId="18" fillId="0" borderId="103" xfId="0" applyFont="1" applyBorder="1" applyAlignment="1">
      <alignment wrapText="1"/>
    </xf>
    <xf numFmtId="0" fontId="18" fillId="0" borderId="111" xfId="0" applyFont="1" applyBorder="1" applyAlignment="1">
      <alignment wrapText="1"/>
    </xf>
    <xf numFmtId="0" fontId="22" fillId="0" borderId="54" xfId="0" applyFont="1" applyBorder="1" applyAlignment="1">
      <alignment horizontal="center" vertical="top" wrapText="1"/>
    </xf>
    <xf numFmtId="0" fontId="22" fillId="0" borderId="156" xfId="0" applyFont="1" applyBorder="1" applyAlignment="1">
      <alignment horizontal="center" vertical="top" wrapText="1"/>
    </xf>
    <xf numFmtId="0" fontId="22" fillId="0" borderId="135" xfId="0" applyFont="1" applyBorder="1" applyAlignment="1">
      <alignment horizontal="center" vertical="top" wrapText="1"/>
    </xf>
    <xf numFmtId="166" fontId="22" fillId="2" borderId="9" xfId="17" applyNumberFormat="1" applyFont="1" applyFill="1" applyBorder="1" applyAlignment="1">
      <alignment horizontal="center" vertical="top"/>
    </xf>
    <xf numFmtId="166" fontId="22" fillId="2" borderId="148" xfId="17" applyNumberFormat="1" applyFont="1" applyFill="1" applyBorder="1" applyAlignment="1">
      <alignment horizontal="center" vertical="top"/>
    </xf>
    <xf numFmtId="0" fontId="18" fillId="0" borderId="112" xfId="0" applyFont="1" applyBorder="1" applyAlignment="1">
      <alignment horizontal="left" vertical="top" wrapText="1"/>
    </xf>
    <xf numFmtId="0" fontId="18" fillId="0" borderId="1" xfId="17" applyFont="1" applyFill="1" applyBorder="1" applyAlignment="1">
      <alignment vertical="top" wrapText="1"/>
    </xf>
    <xf numFmtId="0" fontId="22" fillId="0" borderId="53" xfId="0" applyFont="1" applyBorder="1" applyAlignment="1">
      <alignment horizontal="left" vertical="top" wrapText="1"/>
    </xf>
    <xf numFmtId="0" fontId="22" fillId="0" borderId="51" xfId="0" applyFont="1" applyBorder="1" applyAlignment="1">
      <alignment horizontal="center" vertical="top" wrapText="1"/>
    </xf>
    <xf numFmtId="0" fontId="6" fillId="0" borderId="0" xfId="0" applyFont="1" applyAlignment="1">
      <alignment horizontal="left"/>
    </xf>
    <xf numFmtId="166" fontId="22" fillId="0" borderId="0" xfId="17" applyNumberFormat="1" applyFont="1" applyFill="1" applyBorder="1" applyAlignment="1">
      <alignment horizontal="left"/>
    </xf>
    <xf numFmtId="0" fontId="18" fillId="0" borderId="103" xfId="0" applyFont="1" applyBorder="1" applyAlignment="1">
      <alignment horizontal="left" vertical="top" wrapText="1"/>
    </xf>
    <xf numFmtId="0" fontId="0" fillId="0" borderId="0" xfId="0"/>
    <xf numFmtId="0" fontId="1" fillId="0" borderId="0" xfId="0" applyFont="1" applyAlignment="1">
      <alignment horizontal="left"/>
    </xf>
    <xf numFmtId="0" fontId="1" fillId="0" borderId="172" xfId="0" applyFont="1" applyBorder="1"/>
    <xf numFmtId="0" fontId="1" fillId="0" borderId="173" xfId="0" applyFont="1" applyBorder="1"/>
    <xf numFmtId="0" fontId="18" fillId="0" borderId="153" xfId="0" applyFont="1" applyBorder="1" applyAlignment="1">
      <alignment vertical="top"/>
    </xf>
    <xf numFmtId="0" fontId="1" fillId="0" borderId="153" xfId="0" applyFont="1" applyBorder="1"/>
    <xf numFmtId="0" fontId="1" fillId="0" borderId="158" xfId="0" applyFont="1" applyBorder="1"/>
    <xf numFmtId="0" fontId="22" fillId="0" borderId="174" xfId="0" applyFont="1" applyBorder="1" applyAlignment="1">
      <alignment vertical="top"/>
    </xf>
    <xf numFmtId="0" fontId="22" fillId="0" borderId="156" xfId="0" applyFont="1" applyBorder="1" applyAlignment="1">
      <alignment vertical="top"/>
    </xf>
    <xf numFmtId="0" fontId="22" fillId="0" borderId="53" xfId="0" applyFont="1" applyBorder="1" applyAlignment="1">
      <alignment vertical="top"/>
    </xf>
    <xf numFmtId="0" fontId="22" fillId="0" borderId="157" xfId="0" applyFont="1" applyBorder="1" applyAlignment="1">
      <alignment vertical="top"/>
    </xf>
    <xf numFmtId="0" fontId="22" fillId="0" borderId="154" xfId="0" applyFont="1" applyBorder="1" applyAlignment="1">
      <alignment horizontal="left" vertical="top" wrapText="1"/>
    </xf>
    <xf numFmtId="0" fontId="18" fillId="0" borderId="111" xfId="0" applyFont="1" applyBorder="1" applyAlignment="1">
      <alignment horizontal="left" vertical="top" wrapText="1"/>
    </xf>
    <xf numFmtId="0" fontId="18" fillId="0" borderId="111" xfId="0" applyFont="1" applyBorder="1" applyAlignment="1">
      <alignment horizontal="left" vertical="top"/>
    </xf>
    <xf numFmtId="0" fontId="18" fillId="0" borderId="105" xfId="0" applyFont="1" applyBorder="1" applyAlignment="1">
      <alignment horizontal="left" vertical="top"/>
    </xf>
    <xf numFmtId="0" fontId="113" fillId="0" borderId="106" xfId="0" applyFont="1" applyBorder="1"/>
    <xf numFmtId="0" fontId="18" fillId="0" borderId="104" xfId="0" applyFont="1" applyBorder="1" applyAlignment="1">
      <alignment horizontal="left" vertical="top" wrapText="1"/>
    </xf>
    <xf numFmtId="0" fontId="18" fillId="0" borderId="103" xfId="0" applyFont="1" applyBorder="1" applyAlignment="1">
      <alignment horizontal="left" vertical="top"/>
    </xf>
    <xf numFmtId="0" fontId="113" fillId="0" borderId="103" xfId="0" applyFont="1" applyBorder="1"/>
    <xf numFmtId="0" fontId="113" fillId="0" borderId="0" xfId="0" applyFont="1"/>
    <xf numFmtId="0" fontId="18" fillId="0" borderId="103" xfId="0" applyFont="1" applyBorder="1" applyAlignment="1">
      <alignment vertical="top"/>
    </xf>
    <xf numFmtId="0" fontId="113" fillId="0" borderId="104" xfId="0" applyFont="1" applyBorder="1" applyAlignment="1">
      <alignment wrapText="1"/>
    </xf>
    <xf numFmtId="0" fontId="1" fillId="0" borderId="103" xfId="0" applyFont="1" applyBorder="1"/>
    <xf numFmtId="0" fontId="7" fillId="0" borderId="112" xfId="0" applyFont="1" applyBorder="1" applyAlignment="1">
      <alignment horizontal="left"/>
    </xf>
    <xf numFmtId="0" fontId="18" fillId="0" borderId="112" xfId="0" applyFont="1" applyBorder="1" applyAlignment="1">
      <alignment horizontal="left"/>
    </xf>
    <xf numFmtId="166" fontId="22" fillId="2" borderId="175" xfId="17" applyNumberFormat="1" applyFont="1" applyFill="1" applyBorder="1" applyAlignment="1">
      <alignment horizontal="left" vertical="top"/>
    </xf>
    <xf numFmtId="166" fontId="22" fillId="2" borderId="176" xfId="17" applyNumberFormat="1" applyFont="1" applyFill="1" applyBorder="1" applyAlignment="1">
      <alignment horizontal="left" vertical="top"/>
    </xf>
    <xf numFmtId="0" fontId="6" fillId="0" borderId="164" xfId="0" applyFont="1" applyBorder="1" applyAlignment="1">
      <alignment horizontal="left"/>
    </xf>
    <xf numFmtId="0" fontId="114" fillId="0" borderId="0" xfId="0" applyFont="1"/>
    <xf numFmtId="166" fontId="22" fillId="0" borderId="0" xfId="17" applyNumberFormat="1" applyFont="1" applyAlignment="1">
      <alignment horizontal="right"/>
    </xf>
    <xf numFmtId="0" fontId="4" fillId="0" borderId="0" xfId="0" applyFont="1" applyAlignment="1">
      <alignment horizontal="left"/>
    </xf>
    <xf numFmtId="0" fontId="113" fillId="0" borderId="0" xfId="0" applyFont="1" applyBorder="1"/>
    <xf numFmtId="0" fontId="18" fillId="0" borderId="0" xfId="0" applyFont="1" applyBorder="1" applyAlignment="1">
      <alignment horizontal="left" vertical="top"/>
    </xf>
    <xf numFmtId="0" fontId="18" fillId="0" borderId="105" xfId="0" applyFont="1" applyBorder="1" applyAlignment="1">
      <alignment vertical="top" wrapText="1"/>
    </xf>
    <xf numFmtId="0" fontId="18" fillId="0" borderId="152" xfId="0" applyFont="1" applyBorder="1" applyAlignment="1">
      <alignment vertical="top"/>
    </xf>
    <xf numFmtId="166" fontId="22" fillId="2" borderId="168" xfId="17" applyNumberFormat="1" applyFont="1" applyFill="1" applyBorder="1" applyAlignment="1">
      <alignment horizontal="center" vertical="top"/>
    </xf>
    <xf numFmtId="0" fontId="68" fillId="0" borderId="104" xfId="0" applyFont="1" applyBorder="1" applyAlignment="1">
      <alignment wrapText="1"/>
    </xf>
    <xf numFmtId="0" fontId="18" fillId="0" borderId="160" xfId="0" applyFont="1" applyBorder="1" applyAlignment="1">
      <alignment horizontal="center" vertical="center"/>
    </xf>
    <xf numFmtId="0" fontId="18" fillId="0" borderId="162" xfId="0" applyFont="1" applyBorder="1" applyAlignment="1">
      <alignment horizontal="center" vertical="center"/>
    </xf>
    <xf numFmtId="0" fontId="18" fillId="0" borderId="3" xfId="0" applyFont="1" applyBorder="1" applyAlignment="1">
      <alignment vertical="top"/>
    </xf>
    <xf numFmtId="0" fontId="1" fillId="0" borderId="3" xfId="0" applyFont="1" applyBorder="1"/>
    <xf numFmtId="166" fontId="22" fillId="2" borderId="167" xfId="17" applyNumberFormat="1" applyFont="1" applyFill="1" applyBorder="1" applyAlignment="1">
      <alignment horizontal="center" vertical="top"/>
    </xf>
    <xf numFmtId="0" fontId="1" fillId="0" borderId="152" xfId="0" applyFont="1" applyBorder="1"/>
    <xf numFmtId="0" fontId="22" fillId="0" borderId="180" xfId="0" applyFont="1" applyBorder="1" applyAlignment="1">
      <alignment horizontal="center" vertical="top" wrapText="1"/>
    </xf>
    <xf numFmtId="0" fontId="18" fillId="0" borderId="160" xfId="0" applyFont="1" applyBorder="1" applyAlignment="1">
      <alignment horizontal="center" wrapText="1"/>
    </xf>
    <xf numFmtId="0" fontId="22" fillId="0" borderId="184" xfId="0" applyFont="1" applyBorder="1" applyAlignment="1">
      <alignment horizontal="left" vertical="top" wrapText="1"/>
    </xf>
    <xf numFmtId="0" fontId="18" fillId="0" borderId="152" xfId="0" applyFont="1" applyBorder="1" applyAlignment="1">
      <alignment horizontal="center" vertical="top" wrapText="1"/>
    </xf>
    <xf numFmtId="0" fontId="22" fillId="0" borderId="180" xfId="0" applyFont="1" applyBorder="1" applyAlignment="1">
      <alignment horizontal="left" vertical="top" wrapText="1"/>
    </xf>
    <xf numFmtId="0" fontId="113" fillId="0" borderId="3" xfId="0" applyFont="1" applyBorder="1"/>
    <xf numFmtId="0" fontId="113" fillId="0" borderId="169" xfId="0" applyFont="1" applyBorder="1"/>
    <xf numFmtId="0" fontId="18" fillId="0" borderId="106" xfId="0" applyFont="1" applyBorder="1" applyAlignment="1">
      <alignment horizontal="left" vertical="top"/>
    </xf>
    <xf numFmtId="0" fontId="113" fillId="0" borderId="160" xfId="0" applyFont="1" applyBorder="1" applyAlignment="1">
      <alignment horizontal="center" vertical="center"/>
    </xf>
    <xf numFmtId="0" fontId="18" fillId="0" borderId="161" xfId="0" applyFont="1" applyBorder="1" applyAlignment="1">
      <alignment horizontal="center" wrapText="1"/>
    </xf>
    <xf numFmtId="0" fontId="68" fillId="0" borderId="3" xfId="0" applyFont="1" applyBorder="1" applyAlignment="1">
      <alignment wrapText="1"/>
    </xf>
    <xf numFmtId="0" fontId="117" fillId="0" borderId="3" xfId="0" applyFont="1" applyBorder="1" applyAlignment="1">
      <alignment wrapText="1"/>
    </xf>
    <xf numFmtId="0" fontId="22" fillId="0" borderId="51" xfId="0" applyFont="1" applyBorder="1" applyAlignment="1">
      <alignment vertical="top"/>
    </xf>
    <xf numFmtId="0" fontId="18" fillId="0" borderId="160" xfId="0" applyFont="1" applyFill="1" applyBorder="1" applyAlignment="1">
      <alignment horizontal="center" vertical="center"/>
    </xf>
    <xf numFmtId="0" fontId="18" fillId="0" borderId="153" xfId="0" applyFont="1" applyBorder="1" applyAlignment="1">
      <alignment vertical="top" wrapText="1"/>
    </xf>
    <xf numFmtId="0" fontId="18" fillId="0" borderId="5" xfId="0" applyFont="1" applyBorder="1" applyAlignment="1">
      <alignment horizontal="center" wrapText="1"/>
    </xf>
    <xf numFmtId="0" fontId="18" fillId="0" borderId="69" xfId="0" applyFont="1" applyBorder="1" applyAlignment="1">
      <alignment vertical="top" wrapText="1"/>
    </xf>
    <xf numFmtId="0" fontId="18" fillId="0" borderId="155" xfId="0" applyFont="1" applyBorder="1" applyAlignment="1">
      <alignment vertical="top" wrapText="1"/>
    </xf>
    <xf numFmtId="0" fontId="1" fillId="0" borderId="153" xfId="0" applyFont="1" applyBorder="1" applyAlignment="1"/>
    <xf numFmtId="0" fontId="18" fillId="0" borderId="152" xfId="0" applyFont="1" applyBorder="1" applyAlignment="1">
      <alignment vertical="top" wrapText="1"/>
    </xf>
    <xf numFmtId="0" fontId="18" fillId="0" borderId="111" xfId="0" applyFont="1" applyBorder="1" applyAlignment="1">
      <alignment vertical="top" wrapText="1"/>
    </xf>
    <xf numFmtId="2" fontId="61" fillId="0" borderId="9" xfId="11" applyNumberFormat="1" applyFont="1" applyBorder="1" applyAlignment="1">
      <alignment horizontal="center" vertical="center"/>
    </xf>
    <xf numFmtId="2" fontId="61" fillId="0" borderId="163" xfId="11" applyNumberFormat="1" applyFont="1" applyBorder="1" applyAlignment="1">
      <alignment horizontal="center" vertical="center"/>
    </xf>
    <xf numFmtId="2" fontId="61" fillId="0" borderId="1" xfId="11" applyNumberFormat="1" applyFont="1" applyBorder="1" applyAlignment="1">
      <alignment horizontal="center" vertical="center"/>
    </xf>
    <xf numFmtId="0" fontId="5" fillId="0" borderId="1" xfId="11" applyBorder="1"/>
    <xf numFmtId="0" fontId="5" fillId="0" borderId="171" xfId="11" applyBorder="1"/>
    <xf numFmtId="0" fontId="98" fillId="2" borderId="0" xfId="17" applyFont="1" applyFill="1"/>
    <xf numFmtId="0" fontId="6" fillId="10" borderId="0" xfId="17" applyFont="1" applyFill="1" applyBorder="1"/>
    <xf numFmtId="0" fontId="22" fillId="10" borderId="38" xfId="17" applyFont="1" applyFill="1" applyBorder="1" applyAlignment="1">
      <alignment vertical="top"/>
    </xf>
    <xf numFmtId="0" fontId="18" fillId="10" borderId="20" xfId="0" applyFont="1" applyFill="1" applyBorder="1" applyAlignment="1">
      <alignment vertical="top" wrapText="1"/>
    </xf>
    <xf numFmtId="0" fontId="18" fillId="10" borderId="2" xfId="0" applyFont="1" applyFill="1" applyBorder="1" applyAlignment="1">
      <alignment horizontal="left" vertical="top"/>
    </xf>
    <xf numFmtId="0" fontId="18" fillId="10" borderId="2" xfId="0" applyFont="1" applyFill="1" applyBorder="1" applyAlignment="1">
      <alignment vertical="top"/>
    </xf>
    <xf numFmtId="0" fontId="18" fillId="10" borderId="20" xfId="0" applyFont="1" applyFill="1" applyBorder="1" applyAlignment="1">
      <alignment horizontal="left" vertical="top" wrapText="1"/>
    </xf>
    <xf numFmtId="0" fontId="22" fillId="10" borderId="21" xfId="17" applyFont="1" applyFill="1" applyBorder="1" applyAlignment="1">
      <alignment wrapText="1"/>
    </xf>
    <xf numFmtId="0" fontId="22" fillId="10" borderId="10" xfId="17" applyFont="1" applyFill="1" applyBorder="1" applyAlignment="1">
      <alignment horizontal="center" vertical="top"/>
    </xf>
    <xf numFmtId="0" fontId="10" fillId="10" borderId="11" xfId="17" quotePrefix="1" applyFont="1" applyFill="1" applyBorder="1" applyAlignment="1">
      <alignment horizontal="center" vertical="center"/>
    </xf>
    <xf numFmtId="0" fontId="10" fillId="10" borderId="12" xfId="17" quotePrefix="1" applyFont="1" applyFill="1" applyBorder="1" applyAlignment="1">
      <alignment horizontal="center" vertical="center"/>
    </xf>
    <xf numFmtId="0" fontId="10" fillId="10" borderId="5" xfId="17" quotePrefix="1" applyFont="1" applyFill="1" applyBorder="1" applyAlignment="1">
      <alignment horizontal="center" vertical="center"/>
    </xf>
    <xf numFmtId="0" fontId="10" fillId="10" borderId="10" xfId="17" quotePrefix="1" applyFont="1" applyFill="1" applyBorder="1" applyAlignment="1">
      <alignment horizontal="center" vertical="center"/>
    </xf>
    <xf numFmtId="0" fontId="10" fillId="10" borderId="11" xfId="17" applyFont="1" applyFill="1" applyBorder="1" applyAlignment="1">
      <alignment horizontal="center" vertical="center"/>
    </xf>
    <xf numFmtId="0" fontId="10" fillId="10" borderId="5" xfId="17" applyFont="1" applyFill="1" applyBorder="1" applyAlignment="1">
      <alignment horizontal="center" vertical="center"/>
    </xf>
    <xf numFmtId="0" fontId="7" fillId="10" borderId="10" xfId="17" applyFont="1" applyFill="1" applyBorder="1" applyAlignment="1">
      <alignment vertical="center"/>
    </xf>
    <xf numFmtId="0" fontId="7" fillId="10" borderId="0" xfId="17" applyFont="1" applyFill="1"/>
    <xf numFmtId="0" fontId="18" fillId="10" borderId="1" xfId="17" applyFont="1" applyFill="1" applyBorder="1" applyAlignment="1">
      <alignment horizontal="left" vertical="top" wrapText="1"/>
    </xf>
    <xf numFmtId="0" fontId="18" fillId="10" borderId="2" xfId="17" applyFont="1" applyFill="1" applyBorder="1" applyAlignment="1">
      <alignment horizontal="left" vertical="top" wrapText="1"/>
    </xf>
    <xf numFmtId="0" fontId="18" fillId="10" borderId="1" xfId="17" applyFont="1" applyFill="1" applyBorder="1" applyAlignment="1">
      <alignment horizontal="left" vertical="center" wrapText="1"/>
    </xf>
    <xf numFmtId="0" fontId="18" fillId="11" borderId="1" xfId="17" applyFont="1" applyFill="1" applyBorder="1" applyAlignment="1">
      <alignment vertical="top"/>
    </xf>
    <xf numFmtId="0" fontId="18" fillId="11" borderId="2" xfId="17" applyFont="1" applyFill="1" applyBorder="1" applyAlignment="1">
      <alignment vertical="top"/>
    </xf>
    <xf numFmtId="0" fontId="18" fillId="10" borderId="1" xfId="17" applyFont="1" applyFill="1" applyBorder="1" applyAlignment="1">
      <alignment horizontal="left" vertical="top"/>
    </xf>
    <xf numFmtId="0" fontId="18" fillId="10" borderId="2" xfId="17" applyFont="1" applyFill="1" applyBorder="1" applyAlignment="1">
      <alignment horizontal="left" vertical="top"/>
    </xf>
    <xf numFmtId="0" fontId="18" fillId="10" borderId="3" xfId="17" applyFont="1" applyFill="1" applyBorder="1" applyAlignment="1">
      <alignment horizontal="left" vertical="top"/>
    </xf>
    <xf numFmtId="0" fontId="18" fillId="10" borderId="1" xfId="17" applyFont="1" applyFill="1" applyBorder="1" applyAlignment="1">
      <alignment vertical="top" wrapText="1"/>
    </xf>
    <xf numFmtId="0" fontId="18" fillId="10" borderId="2" xfId="17" applyFont="1" applyFill="1" applyBorder="1" applyAlignment="1">
      <alignment vertical="top" wrapText="1"/>
    </xf>
    <xf numFmtId="0" fontId="7" fillId="10" borderId="1" xfId="17" applyFont="1" applyFill="1" applyBorder="1" applyAlignment="1">
      <alignment vertical="top" wrapText="1"/>
    </xf>
    <xf numFmtId="0" fontId="7" fillId="10" borderId="2" xfId="17" applyFont="1" applyFill="1" applyBorder="1" applyAlignment="1">
      <alignment vertical="top" wrapText="1"/>
    </xf>
    <xf numFmtId="0" fontId="22" fillId="10" borderId="3" xfId="17" applyFont="1" applyFill="1" applyBorder="1" applyAlignment="1">
      <alignment horizontal="center" vertical="center" textRotation="90" wrapText="1"/>
    </xf>
    <xf numFmtId="0" fontId="18" fillId="10" borderId="1" xfId="17" applyFont="1" applyFill="1" applyBorder="1" applyAlignment="1">
      <alignment vertical="top"/>
    </xf>
    <xf numFmtId="0" fontId="18" fillId="10" borderId="2" xfId="17" applyFont="1" applyFill="1" applyBorder="1" applyAlignment="1">
      <alignment vertical="top"/>
    </xf>
    <xf numFmtId="0" fontId="18" fillId="10" borderId="1" xfId="17" applyFont="1" applyFill="1" applyBorder="1" applyAlignment="1">
      <alignment horizontal="center" vertical="top"/>
    </xf>
    <xf numFmtId="0" fontId="18" fillId="10" borderId="2" xfId="17" applyFont="1" applyFill="1" applyBorder="1" applyAlignment="1">
      <alignment horizontal="center" vertical="top"/>
    </xf>
    <xf numFmtId="0" fontId="18" fillId="11" borderId="6" xfId="17" applyFont="1" applyFill="1" applyBorder="1" applyAlignment="1">
      <alignment vertical="top"/>
    </xf>
    <xf numFmtId="0" fontId="18" fillId="11" borderId="12" xfId="17" applyFont="1" applyFill="1" applyBorder="1" applyAlignment="1">
      <alignment vertical="top"/>
    </xf>
    <xf numFmtId="0" fontId="90" fillId="0" borderId="0" xfId="17" applyFont="1" applyAlignment="1">
      <alignment horizontal="left" vertical="top" wrapText="1"/>
    </xf>
    <xf numFmtId="0" fontId="5" fillId="0" borderId="37" xfId="17" applyFont="1" applyFill="1" applyBorder="1" applyAlignment="1">
      <alignment horizontal="center"/>
    </xf>
    <xf numFmtId="0" fontId="5" fillId="0" borderId="5" xfId="17" applyFont="1" applyFill="1" applyBorder="1" applyAlignment="1">
      <alignment horizontal="center"/>
    </xf>
    <xf numFmtId="0" fontId="5" fillId="2" borderId="37" xfId="17" applyFont="1" applyFill="1" applyBorder="1" applyAlignment="1">
      <alignment horizontal="center"/>
    </xf>
    <xf numFmtId="0" fontId="5" fillId="2" borderId="5" xfId="17" applyFont="1" applyFill="1" applyBorder="1" applyAlignment="1">
      <alignment horizontal="center"/>
    </xf>
    <xf numFmtId="0" fontId="23" fillId="0" borderId="37" xfId="17" applyFont="1" applyFill="1" applyBorder="1" applyAlignment="1">
      <alignment horizontal="center"/>
    </xf>
    <xf numFmtId="0" fontId="23" fillId="0" borderId="5" xfId="17" applyFont="1" applyFill="1" applyBorder="1" applyAlignment="1">
      <alignment horizontal="center"/>
    </xf>
    <xf numFmtId="0" fontId="5" fillId="0" borderId="37" xfId="17" applyFont="1" applyBorder="1" applyAlignment="1">
      <alignment horizontal="center"/>
    </xf>
    <xf numFmtId="0" fontId="5" fillId="0" borderId="5" xfId="17" applyFont="1" applyBorder="1" applyAlignment="1">
      <alignment horizontal="center"/>
    </xf>
    <xf numFmtId="0" fontId="4" fillId="0" borderId="1" xfId="17" applyFont="1" applyBorder="1" applyAlignment="1">
      <alignment horizontal="center" vertical="center" wrapText="1"/>
    </xf>
    <xf numFmtId="0" fontId="4" fillId="0" borderId="0" xfId="17" applyFont="1" applyBorder="1" applyAlignment="1">
      <alignment horizontal="center" vertical="center" wrapText="1"/>
    </xf>
    <xf numFmtId="0" fontId="4" fillId="0" borderId="2" xfId="17" applyFont="1" applyBorder="1" applyAlignment="1">
      <alignment horizontal="center" vertical="center" wrapText="1"/>
    </xf>
    <xf numFmtId="0" fontId="5" fillId="0" borderId="37" xfId="17" applyFont="1" applyBorder="1" applyAlignment="1">
      <alignment horizontal="center" vertical="center" wrapText="1"/>
    </xf>
    <xf numFmtId="0" fontId="5" fillId="0" borderId="36" xfId="17" applyFont="1" applyBorder="1" applyAlignment="1">
      <alignment horizontal="center" vertical="center" wrapText="1"/>
    </xf>
    <xf numFmtId="0" fontId="5" fillId="0" borderId="5" xfId="17" applyFont="1" applyBorder="1" applyAlignment="1">
      <alignment horizontal="center" vertical="center" wrapText="1"/>
    </xf>
    <xf numFmtId="0" fontId="5" fillId="0" borderId="37" xfId="17" applyFont="1" applyBorder="1" applyAlignment="1">
      <alignment horizontal="center" vertical="center"/>
    </xf>
    <xf numFmtId="0" fontId="5" fillId="0" borderId="36" xfId="17" applyFont="1" applyBorder="1" applyAlignment="1">
      <alignment horizontal="center" vertical="center"/>
    </xf>
    <xf numFmtId="0" fontId="5" fillId="0" borderId="5" xfId="17" applyFont="1" applyBorder="1" applyAlignment="1">
      <alignment horizontal="center" vertical="center"/>
    </xf>
    <xf numFmtId="0" fontId="5" fillId="0" borderId="23" xfId="17" applyFont="1" applyBorder="1" applyAlignment="1">
      <alignment horizontal="center"/>
    </xf>
    <xf numFmtId="0" fontId="5" fillId="0" borderId="24" xfId="17" applyFont="1" applyBorder="1" applyAlignment="1">
      <alignment horizontal="center"/>
    </xf>
    <xf numFmtId="0" fontId="5" fillId="0" borderId="12" xfId="17" applyFont="1" applyBorder="1" applyAlignment="1">
      <alignment horizontal="center"/>
    </xf>
    <xf numFmtId="0" fontId="4" fillId="0" borderId="23" xfId="0" applyFont="1" applyBorder="1" applyAlignment="1">
      <alignment horizontal="center"/>
    </xf>
    <xf numFmtId="0" fontId="4" fillId="0" borderId="24" xfId="0" applyFont="1" applyBorder="1" applyAlignment="1">
      <alignment horizontal="center"/>
    </xf>
    <xf numFmtId="0" fontId="4" fillId="0" borderId="12" xfId="0" applyFont="1" applyBorder="1" applyAlignment="1">
      <alignment horizontal="center"/>
    </xf>
    <xf numFmtId="0" fontId="91" fillId="0" borderId="0" xfId="17" applyFont="1" applyAlignment="1">
      <alignment horizontal="center"/>
    </xf>
    <xf numFmtId="0" fontId="78" fillId="0" borderId="0" xfId="0" applyFont="1" applyAlignment="1">
      <alignment horizontal="center" vertical="center"/>
    </xf>
    <xf numFmtId="0" fontId="4" fillId="0" borderId="9" xfId="17" applyFont="1" applyBorder="1" applyAlignment="1">
      <alignment horizontal="center" vertical="center" wrapText="1"/>
    </xf>
    <xf numFmtId="0" fontId="4" fillId="0" borderId="22" xfId="17" applyFont="1" applyBorder="1" applyAlignment="1">
      <alignment horizontal="center" vertical="center" wrapText="1"/>
    </xf>
    <xf numFmtId="0" fontId="4" fillId="0" borderId="10" xfId="17" applyFont="1" applyBorder="1" applyAlignment="1">
      <alignment horizontal="center" vertical="center" wrapText="1"/>
    </xf>
    <xf numFmtId="0" fontId="5" fillId="6" borderId="37" xfId="17" applyFont="1" applyFill="1" applyBorder="1" applyAlignment="1">
      <alignment horizontal="center"/>
    </xf>
    <xf numFmtId="0" fontId="5" fillId="6" borderId="5" xfId="17" applyFont="1" applyFill="1" applyBorder="1" applyAlignment="1">
      <alignment horizontal="center"/>
    </xf>
    <xf numFmtId="0" fontId="4" fillId="0" borderId="37" xfId="17" applyFont="1" applyBorder="1" applyAlignment="1">
      <alignment horizontal="center" vertical="center"/>
    </xf>
    <xf numFmtId="0" fontId="4" fillId="0" borderId="36" xfId="17" applyFont="1" applyBorder="1" applyAlignment="1">
      <alignment horizontal="center" vertical="center"/>
    </xf>
    <xf numFmtId="0" fontId="4" fillId="0" borderId="5" xfId="17" applyFont="1" applyBorder="1" applyAlignment="1">
      <alignment horizontal="center" vertical="center"/>
    </xf>
    <xf numFmtId="0" fontId="7" fillId="0" borderId="0" xfId="17" applyFont="1" applyBorder="1" applyAlignment="1">
      <alignment horizontal="center"/>
    </xf>
    <xf numFmtId="0" fontId="15" fillId="0" borderId="0" xfId="17" applyFont="1" applyAlignment="1">
      <alignment horizontal="center"/>
    </xf>
    <xf numFmtId="0" fontId="10" fillId="0" borderId="36" xfId="17" applyFont="1" applyBorder="1" applyAlignment="1">
      <alignment horizontal="center" vertical="center"/>
    </xf>
    <xf numFmtId="0" fontId="10" fillId="0" borderId="89" xfId="17" applyFont="1" applyBorder="1" applyAlignment="1">
      <alignment horizontal="center" vertical="center"/>
    </xf>
    <xf numFmtId="0" fontId="10" fillId="0" borderId="90" xfId="17" applyFont="1" applyBorder="1" applyAlignment="1">
      <alignment horizontal="center" vertical="center"/>
    </xf>
    <xf numFmtId="0" fontId="10" fillId="0" borderId="91" xfId="17" applyFont="1" applyBorder="1" applyAlignment="1">
      <alignment horizontal="center" vertical="center"/>
    </xf>
    <xf numFmtId="0" fontId="22" fillId="0" borderId="92"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93" xfId="0" applyFont="1" applyBorder="1" applyAlignment="1">
      <alignment horizontal="center" vertical="center" wrapText="1"/>
    </xf>
    <xf numFmtId="0" fontId="22" fillId="0" borderId="94" xfId="17" applyFont="1" applyBorder="1" applyAlignment="1">
      <alignment horizontal="center" vertical="center" wrapText="1"/>
    </xf>
    <xf numFmtId="0" fontId="22" fillId="0" borderId="12" xfId="17" applyFont="1" applyBorder="1" applyAlignment="1">
      <alignment horizontal="center" vertical="center" wrapText="1"/>
    </xf>
    <xf numFmtId="0" fontId="0" fillId="0" borderId="56" xfId="0" applyBorder="1" applyAlignment="1">
      <alignment horizontal="center"/>
    </xf>
    <xf numFmtId="0" fontId="0" fillId="0" borderId="57" xfId="0" applyBorder="1" applyAlignment="1">
      <alignment horizontal="center"/>
    </xf>
    <xf numFmtId="0" fontId="18" fillId="0" borderId="27" xfId="17" applyFont="1" applyFill="1" applyBorder="1" applyAlignment="1">
      <alignment horizontal="center" vertical="center"/>
    </xf>
    <xf numFmtId="0" fontId="18" fillId="0" borderId="27" xfId="0" applyFont="1" applyBorder="1" applyAlignment="1">
      <alignment horizontal="center"/>
    </xf>
    <xf numFmtId="0" fontId="0" fillId="0" borderId="31" xfId="0" applyFill="1" applyBorder="1" applyAlignment="1">
      <alignment horizontal="center"/>
    </xf>
    <xf numFmtId="0" fontId="0" fillId="0" borderId="60" xfId="0" applyFill="1" applyBorder="1" applyAlignment="1">
      <alignment horizontal="center"/>
    </xf>
    <xf numFmtId="0" fontId="18" fillId="0" borderId="31" xfId="17" applyFont="1" applyFill="1" applyBorder="1" applyAlignment="1">
      <alignment horizontal="center" vertical="center"/>
    </xf>
    <xf numFmtId="0" fontId="18" fillId="0" borderId="56" xfId="17" applyFont="1" applyFill="1" applyBorder="1" applyAlignment="1">
      <alignment horizontal="center" vertical="center"/>
    </xf>
    <xf numFmtId="0" fontId="18" fillId="0" borderId="1" xfId="17" applyFont="1" applyFill="1" applyBorder="1" applyAlignment="1">
      <alignment horizontal="center" vertical="center"/>
    </xf>
    <xf numFmtId="0" fontId="18" fillId="0" borderId="0" xfId="17" applyFont="1" applyFill="1" applyBorder="1" applyAlignment="1">
      <alignment horizontal="center" vertical="center"/>
    </xf>
    <xf numFmtId="0" fontId="18" fillId="5" borderId="31" xfId="17" applyFont="1" applyFill="1" applyBorder="1" applyAlignment="1">
      <alignment horizontal="center" vertical="center"/>
    </xf>
    <xf numFmtId="0" fontId="18" fillId="5" borderId="27" xfId="0" applyFont="1" applyFill="1" applyBorder="1" applyAlignment="1">
      <alignment horizontal="center"/>
    </xf>
    <xf numFmtId="0" fontId="18" fillId="5" borderId="27" xfId="17" applyFont="1" applyFill="1" applyBorder="1" applyAlignment="1">
      <alignment horizontal="center" vertical="center"/>
    </xf>
    <xf numFmtId="0" fontId="18" fillId="5" borderId="56" xfId="17" applyFont="1" applyFill="1" applyBorder="1" applyAlignment="1">
      <alignment horizontal="center" vertical="center"/>
    </xf>
    <xf numFmtId="0" fontId="22" fillId="0" borderId="95" xfId="17" applyFont="1" applyBorder="1" applyAlignment="1">
      <alignment horizontal="center" vertical="center" wrapText="1"/>
    </xf>
    <xf numFmtId="0" fontId="22" fillId="0" borderId="96" xfId="17" applyFont="1" applyBorder="1" applyAlignment="1">
      <alignment horizontal="center" vertical="center" wrapText="1"/>
    </xf>
    <xf numFmtId="0" fontId="22" fillId="2" borderId="16" xfId="17" applyFont="1" applyFill="1" applyBorder="1" applyAlignment="1">
      <alignment horizontal="center" vertical="center" textRotation="90" wrapText="1"/>
    </xf>
    <xf numFmtId="0" fontId="22" fillId="2" borderId="43" xfId="17" applyFont="1" applyFill="1" applyBorder="1" applyAlignment="1">
      <alignment horizontal="center" vertical="center" textRotation="90" wrapText="1"/>
    </xf>
    <xf numFmtId="0" fontId="22" fillId="2" borderId="67" xfId="17" applyFont="1" applyFill="1" applyBorder="1" applyAlignment="1">
      <alignment horizontal="center" vertical="center" textRotation="90" wrapText="1"/>
    </xf>
    <xf numFmtId="166" fontId="22" fillId="0" borderId="9" xfId="17" applyNumberFormat="1" applyFont="1" applyFill="1" applyBorder="1" applyAlignment="1">
      <alignment horizontal="left" wrapText="1"/>
    </xf>
    <xf numFmtId="166" fontId="22" fillId="0" borderId="22" xfId="17" applyNumberFormat="1" applyFont="1" applyFill="1" applyBorder="1" applyAlignment="1">
      <alignment horizontal="left" wrapText="1"/>
    </xf>
    <xf numFmtId="166" fontId="22" fillId="0" borderId="124" xfId="17" applyNumberFormat="1" applyFont="1" applyFill="1" applyBorder="1" applyAlignment="1">
      <alignment horizontal="left" wrapText="1"/>
    </xf>
    <xf numFmtId="0" fontId="22" fillId="0" borderId="3" xfId="17" applyFont="1" applyFill="1" applyBorder="1" applyAlignment="1">
      <alignment horizontal="center" vertical="top" wrapText="1"/>
    </xf>
    <xf numFmtId="0" fontId="22" fillId="0" borderId="6" xfId="17" applyFont="1" applyFill="1" applyBorder="1" applyAlignment="1">
      <alignment horizontal="center" vertical="top" wrapText="1"/>
    </xf>
    <xf numFmtId="0" fontId="98" fillId="7" borderId="3" xfId="0" applyFont="1" applyFill="1" applyBorder="1" applyAlignment="1">
      <alignment horizontal="left" vertical="top" wrapText="1"/>
    </xf>
    <xf numFmtId="0" fontId="18" fillId="10" borderId="1" xfId="17" applyFont="1" applyFill="1" applyBorder="1" applyAlignment="1">
      <alignment horizontal="center" vertical="top" wrapText="1"/>
    </xf>
    <xf numFmtId="0" fontId="18" fillId="10" borderId="2" xfId="17" applyFont="1" applyFill="1" applyBorder="1" applyAlignment="1">
      <alignment horizontal="center" vertical="top" wrapText="1"/>
    </xf>
    <xf numFmtId="0" fontId="18" fillId="2" borderId="1" xfId="17" applyFont="1" applyFill="1" applyBorder="1" applyAlignment="1">
      <alignment horizontal="center" vertical="top" wrapText="1"/>
    </xf>
    <xf numFmtId="0" fontId="18" fillId="2" borderId="2" xfId="17" applyFont="1" applyFill="1" applyBorder="1" applyAlignment="1">
      <alignment horizontal="center" vertical="top" wrapText="1"/>
    </xf>
    <xf numFmtId="0" fontId="18" fillId="0" borderId="37" xfId="17" applyFont="1" applyFill="1" applyBorder="1" applyAlignment="1">
      <alignment horizontal="center" vertical="top"/>
    </xf>
    <xf numFmtId="0" fontId="18" fillId="0" borderId="36" xfId="17" applyFont="1" applyFill="1" applyBorder="1" applyAlignment="1">
      <alignment horizontal="center" vertical="top"/>
    </xf>
    <xf numFmtId="0" fontId="18" fillId="0" borderId="5" xfId="17" applyFont="1" applyFill="1" applyBorder="1" applyAlignment="1">
      <alignment horizontal="center" vertical="top"/>
    </xf>
    <xf numFmtId="0" fontId="18" fillId="0" borderId="3" xfId="0" applyFont="1" applyBorder="1" applyAlignment="1">
      <alignment horizontal="left" vertical="top" wrapText="1"/>
    </xf>
    <xf numFmtId="0" fontId="18" fillId="0" borderId="3" xfId="17" applyFont="1" applyFill="1" applyBorder="1" applyAlignment="1">
      <alignment horizontal="left" vertical="top" wrapText="1"/>
    </xf>
    <xf numFmtId="0" fontId="18" fillId="0" borderId="1" xfId="17" applyFont="1" applyFill="1" applyBorder="1" applyAlignment="1">
      <alignment horizontal="left" vertical="top" wrapText="1"/>
    </xf>
    <xf numFmtId="0" fontId="18" fillId="0" borderId="0" xfId="17" applyFont="1" applyFill="1" applyBorder="1" applyAlignment="1">
      <alignment horizontal="left" vertical="top" wrapText="1"/>
    </xf>
    <xf numFmtId="0" fontId="18" fillId="0" borderId="104" xfId="17" applyFont="1" applyFill="1" applyBorder="1" applyAlignment="1">
      <alignment horizontal="left" vertical="top" wrapText="1"/>
    </xf>
    <xf numFmtId="0" fontId="18" fillId="0" borderId="2" xfId="17" applyFont="1" applyFill="1" applyBorder="1" applyAlignment="1">
      <alignment horizontal="left" vertical="top" wrapText="1"/>
    </xf>
    <xf numFmtId="0" fontId="18" fillId="2" borderId="1" xfId="17" applyFont="1" applyFill="1" applyBorder="1" applyAlignment="1">
      <alignment horizontal="left" vertical="top" wrapText="1"/>
    </xf>
    <xf numFmtId="0" fontId="97" fillId="0" borderId="3" xfId="0" applyFont="1" applyBorder="1" applyAlignment="1">
      <alignment horizontal="center" wrapText="1"/>
    </xf>
    <xf numFmtId="0" fontId="97" fillId="0" borderId="6" xfId="0" applyFont="1" applyBorder="1" applyAlignment="1">
      <alignment horizontal="center" wrapText="1"/>
    </xf>
    <xf numFmtId="0" fontId="57" fillId="2" borderId="3" xfId="17" applyFont="1" applyFill="1" applyBorder="1" applyAlignment="1">
      <alignment horizontal="center" vertical="center" wrapText="1"/>
    </xf>
    <xf numFmtId="0" fontId="57" fillId="2" borderId="6" xfId="17" applyFont="1" applyFill="1" applyBorder="1" applyAlignment="1">
      <alignment horizontal="center" vertical="center" wrapText="1"/>
    </xf>
    <xf numFmtId="0" fontId="18" fillId="10" borderId="171" xfId="17" applyFont="1" applyFill="1" applyBorder="1" applyAlignment="1">
      <alignment horizontal="center" vertical="top" wrapText="1"/>
    </xf>
    <xf numFmtId="0" fontId="18" fillId="10" borderId="165" xfId="17" applyFont="1" applyFill="1" applyBorder="1" applyAlignment="1">
      <alignment horizontal="center" vertical="top" wrapText="1"/>
    </xf>
    <xf numFmtId="0" fontId="18" fillId="0" borderId="3" xfId="0" applyFont="1" applyBorder="1" applyAlignment="1">
      <alignment vertical="top" wrapText="1"/>
    </xf>
    <xf numFmtId="0" fontId="79" fillId="2" borderId="3" xfId="17" applyFont="1" applyFill="1" applyBorder="1" applyAlignment="1">
      <alignment horizontal="left" vertical="top" wrapText="1"/>
    </xf>
    <xf numFmtId="0" fontId="58" fillId="0" borderId="20" xfId="0" applyFont="1" applyBorder="1" applyAlignment="1">
      <alignment horizontal="left" vertical="top" wrapText="1"/>
    </xf>
    <xf numFmtId="166" fontId="22" fillId="0" borderId="9" xfId="17" applyNumberFormat="1" applyFont="1" applyFill="1" applyBorder="1" applyAlignment="1">
      <alignment horizontal="center" wrapText="1"/>
    </xf>
    <xf numFmtId="166" fontId="22" fillId="0" borderId="22" xfId="17" applyNumberFormat="1" applyFont="1" applyFill="1" applyBorder="1" applyAlignment="1">
      <alignment horizontal="center" wrapText="1"/>
    </xf>
    <xf numFmtId="166" fontId="22" fillId="0" borderId="10" xfId="17" applyNumberFormat="1" applyFont="1" applyFill="1" applyBorder="1" applyAlignment="1">
      <alignment horizontal="center" wrapText="1"/>
    </xf>
    <xf numFmtId="0" fontId="22" fillId="2" borderId="20" xfId="17" applyFont="1" applyFill="1" applyBorder="1" applyAlignment="1">
      <alignment horizontal="center" vertical="center" textRotation="90" wrapText="1"/>
    </xf>
    <xf numFmtId="0" fontId="22" fillId="2" borderId="80" xfId="17" applyFont="1" applyFill="1" applyBorder="1" applyAlignment="1">
      <alignment horizontal="center" vertical="center" textRotation="90" wrapText="1"/>
    </xf>
    <xf numFmtId="0" fontId="98" fillId="2" borderId="3" xfId="17" applyFont="1" applyFill="1" applyBorder="1" applyAlignment="1">
      <alignment horizontal="left" vertical="top" wrapText="1"/>
    </xf>
    <xf numFmtId="0" fontId="18" fillId="2" borderId="2" xfId="17" applyFont="1" applyFill="1" applyBorder="1" applyAlignment="1">
      <alignment horizontal="left" vertical="top" wrapText="1"/>
    </xf>
    <xf numFmtId="0" fontId="98" fillId="0" borderId="3" xfId="17" applyFont="1" applyFill="1" applyBorder="1" applyAlignment="1">
      <alignment horizontal="left" vertical="top" wrapText="1"/>
    </xf>
    <xf numFmtId="0" fontId="18" fillId="2" borderId="3" xfId="17" applyFont="1" applyFill="1" applyBorder="1" applyAlignment="1">
      <alignment horizontal="left" vertical="top" wrapText="1"/>
    </xf>
    <xf numFmtId="0" fontId="18" fillId="0" borderId="1" xfId="0" applyFont="1" applyBorder="1" applyAlignment="1">
      <alignment horizontal="left" vertical="top" wrapText="1"/>
    </xf>
    <xf numFmtId="0" fontId="98" fillId="0" borderId="3" xfId="0" applyFont="1" applyBorder="1" applyAlignment="1">
      <alignment horizontal="left" vertical="top" wrapText="1"/>
    </xf>
    <xf numFmtId="0" fontId="58" fillId="2" borderId="1" xfId="17" applyFont="1" applyFill="1" applyBorder="1" applyAlignment="1">
      <alignment horizontal="left" vertical="top" wrapText="1"/>
    </xf>
    <xf numFmtId="0" fontId="18" fillId="0" borderId="1" xfId="0" applyFont="1" applyBorder="1" applyAlignment="1">
      <alignment vertical="top" wrapText="1"/>
    </xf>
    <xf numFmtId="0" fontId="18" fillId="0" borderId="8" xfId="10" applyFont="1" applyBorder="1" applyAlignment="1">
      <alignment horizontal="center" textRotation="90" wrapText="1"/>
    </xf>
    <xf numFmtId="0" fontId="18" fillId="0" borderId="3" xfId="10" applyFont="1" applyBorder="1" applyAlignment="1">
      <alignment horizontal="center" textRotation="90" wrapText="1"/>
    </xf>
    <xf numFmtId="0" fontId="18" fillId="0" borderId="6" xfId="10" applyFont="1" applyBorder="1" applyAlignment="1">
      <alignment horizontal="center" textRotation="90" wrapText="1"/>
    </xf>
    <xf numFmtId="0" fontId="18" fillId="2" borderId="3" xfId="17" applyFont="1" applyFill="1" applyBorder="1" applyAlignment="1">
      <alignment horizontal="center" vertical="top" wrapText="1"/>
    </xf>
    <xf numFmtId="0" fontId="18" fillId="0" borderId="108" xfId="10" applyFont="1" applyBorder="1" applyAlignment="1">
      <alignment horizontal="left" vertical="top" wrapText="1"/>
    </xf>
    <xf numFmtId="0" fontId="22" fillId="0" borderId="44" xfId="17" applyFont="1" applyFill="1" applyBorder="1" applyAlignment="1">
      <alignment horizontal="center"/>
    </xf>
    <xf numFmtId="0" fontId="22" fillId="0" borderId="46" xfId="17" applyFont="1" applyFill="1" applyBorder="1" applyAlignment="1">
      <alignment horizontal="center"/>
    </xf>
    <xf numFmtId="0" fontId="22" fillId="0" borderId="45" xfId="17" applyFont="1" applyFill="1" applyBorder="1" applyAlignment="1">
      <alignment horizontal="center"/>
    </xf>
    <xf numFmtId="0" fontId="18" fillId="10" borderId="3" xfId="17" applyFont="1" applyFill="1" applyBorder="1" applyAlignment="1">
      <alignment horizontal="left" vertical="top" wrapText="1"/>
    </xf>
    <xf numFmtId="0" fontId="98" fillId="0" borderId="0" xfId="17" applyFont="1" applyFill="1" applyBorder="1" applyAlignment="1">
      <alignment horizontal="left" vertical="top" wrapText="1"/>
    </xf>
    <xf numFmtId="0" fontId="98" fillId="0" borderId="0" xfId="17" applyFont="1" applyFill="1" applyBorder="1" applyAlignment="1">
      <alignment horizontal="left" vertical="center" wrapText="1"/>
    </xf>
    <xf numFmtId="0" fontId="18" fillId="10" borderId="3" xfId="0" applyFont="1" applyFill="1" applyBorder="1" applyAlignment="1">
      <alignment horizontal="left" vertical="top" wrapText="1"/>
    </xf>
    <xf numFmtId="0" fontId="18" fillId="10" borderId="3" xfId="17" applyFont="1" applyFill="1" applyBorder="1" applyAlignment="1">
      <alignment horizontal="left" vertical="center" wrapText="1"/>
    </xf>
    <xf numFmtId="0" fontId="98" fillId="0" borderId="6" xfId="0" applyFont="1" applyBorder="1" applyAlignment="1">
      <alignment horizontal="left" vertical="top" wrapText="1"/>
    </xf>
    <xf numFmtId="0" fontId="18" fillId="0" borderId="1" xfId="0" applyFont="1" applyFill="1" applyBorder="1" applyAlignment="1">
      <alignment horizontal="left" vertical="top" wrapText="1"/>
    </xf>
    <xf numFmtId="0" fontId="18" fillId="0" borderId="0"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23" xfId="0" applyFont="1" applyFill="1" applyBorder="1" applyAlignment="1">
      <alignment horizontal="left" vertical="top" wrapText="1"/>
    </xf>
    <xf numFmtId="0" fontId="18" fillId="0" borderId="24" xfId="0" applyFont="1" applyFill="1" applyBorder="1" applyAlignment="1">
      <alignment horizontal="left" vertical="top" wrapText="1"/>
    </xf>
    <xf numFmtId="0" fontId="18" fillId="0" borderId="12" xfId="0" applyFont="1" applyFill="1" applyBorder="1" applyAlignment="1">
      <alignment horizontal="left" vertical="top" wrapText="1"/>
    </xf>
    <xf numFmtId="0" fontId="22" fillId="0" borderId="1" xfId="17" applyFont="1" applyFill="1" applyBorder="1" applyAlignment="1">
      <alignment horizontal="center" vertical="top" wrapText="1"/>
    </xf>
    <xf numFmtId="0" fontId="22" fillId="0" borderId="0" xfId="17" applyFont="1" applyFill="1" applyBorder="1" applyAlignment="1">
      <alignment horizontal="center" vertical="top" wrapText="1"/>
    </xf>
    <xf numFmtId="0" fontId="22" fillId="0" borderId="2" xfId="17" applyFont="1" applyFill="1" applyBorder="1" applyAlignment="1">
      <alignment horizontal="center" vertical="top" wrapText="1"/>
    </xf>
    <xf numFmtId="0" fontId="79" fillId="0" borderId="3" xfId="0" applyFont="1" applyBorder="1" applyAlignment="1">
      <alignment horizontal="left" vertical="center" wrapText="1"/>
    </xf>
    <xf numFmtId="0" fontId="79" fillId="0" borderId="6" xfId="0" applyFont="1" applyBorder="1" applyAlignment="1">
      <alignment horizontal="left" vertical="center" wrapText="1"/>
    </xf>
    <xf numFmtId="0" fontId="18" fillId="0" borderId="1" xfId="17" applyFont="1" applyFill="1" applyBorder="1" applyAlignment="1">
      <alignment horizontal="center" vertical="top" wrapText="1"/>
    </xf>
    <xf numFmtId="0" fontId="18" fillId="0" borderId="0" xfId="17" applyFont="1" applyFill="1" applyBorder="1" applyAlignment="1">
      <alignment horizontal="center" vertical="top" wrapText="1"/>
    </xf>
    <xf numFmtId="0" fontId="18" fillId="0" borderId="104" xfId="17" applyFont="1" applyFill="1" applyBorder="1" applyAlignment="1">
      <alignment horizontal="center" vertical="top" wrapText="1"/>
    </xf>
    <xf numFmtId="0" fontId="18" fillId="0" borderId="23" xfId="17" applyFont="1" applyFill="1" applyBorder="1" applyAlignment="1">
      <alignment horizontal="center" vertical="top" wrapText="1"/>
    </xf>
    <xf numFmtId="0" fontId="18" fillId="0" borderId="24" xfId="17" applyFont="1" applyFill="1" applyBorder="1" applyAlignment="1">
      <alignment horizontal="center" vertical="top" wrapText="1"/>
    </xf>
    <xf numFmtId="0" fontId="18" fillId="0" borderId="141" xfId="17" applyFont="1" applyFill="1" applyBorder="1" applyAlignment="1">
      <alignment horizontal="center" vertical="top" wrapText="1"/>
    </xf>
    <xf numFmtId="0" fontId="18" fillId="0" borderId="3" xfId="10" applyFont="1" applyBorder="1" applyAlignment="1">
      <alignment horizontal="left" wrapText="1"/>
    </xf>
    <xf numFmtId="0" fontId="18" fillId="0" borderId="6" xfId="0" applyFont="1" applyBorder="1" applyAlignment="1">
      <alignment horizontal="left" vertical="top" wrapText="1"/>
    </xf>
    <xf numFmtId="0" fontId="18" fillId="0" borderId="3" xfId="10" applyFont="1" applyBorder="1" applyAlignment="1">
      <alignment horizontal="left" vertical="center" wrapText="1"/>
    </xf>
    <xf numFmtId="0" fontId="22" fillId="0" borderId="3" xfId="0" quotePrefix="1" applyFont="1" applyFill="1" applyBorder="1" applyAlignment="1">
      <alignment horizontal="left" vertical="top" wrapText="1"/>
    </xf>
    <xf numFmtId="0" fontId="18" fillId="0" borderId="3" xfId="10" applyFont="1" applyBorder="1" applyAlignment="1">
      <alignment horizontal="left" vertical="top" wrapText="1"/>
    </xf>
    <xf numFmtId="0" fontId="18" fillId="0" borderId="112" xfId="0" applyFont="1" applyBorder="1" applyAlignment="1">
      <alignment horizontal="left" vertical="top" wrapText="1"/>
    </xf>
    <xf numFmtId="0" fontId="18" fillId="10" borderId="3" xfId="0" applyFont="1" applyFill="1" applyBorder="1" applyAlignment="1">
      <alignment horizontal="left" wrapText="1"/>
    </xf>
    <xf numFmtId="166" fontId="22" fillId="2" borderId="163" xfId="17" applyNumberFormat="1" applyFont="1" applyFill="1" applyBorder="1" applyAlignment="1">
      <alignment horizontal="center" vertical="center" wrapText="1"/>
    </xf>
    <xf numFmtId="166" fontId="22" fillId="2" borderId="167" xfId="17" applyNumberFormat="1" applyFont="1" applyFill="1" applyBorder="1" applyAlignment="1">
      <alignment horizontal="center" vertical="center" wrapText="1"/>
    </xf>
    <xf numFmtId="0" fontId="6" fillId="10" borderId="20" xfId="17" applyFont="1" applyFill="1" applyBorder="1" applyAlignment="1">
      <alignment horizontal="left" vertical="top" wrapText="1"/>
    </xf>
    <xf numFmtId="0" fontId="18" fillId="0" borderId="2" xfId="0" applyFont="1" applyBorder="1" applyAlignment="1">
      <alignment horizontal="left" vertical="top" wrapText="1"/>
    </xf>
    <xf numFmtId="0" fontId="22" fillId="10" borderId="20" xfId="17" applyFont="1" applyFill="1" applyBorder="1" applyAlignment="1">
      <alignment horizontal="left" vertical="top" wrapText="1"/>
    </xf>
    <xf numFmtId="0" fontId="18" fillId="0" borderId="20" xfId="17" applyFont="1" applyFill="1" applyBorder="1" applyAlignment="1">
      <alignment horizontal="left" vertical="top" wrapText="1"/>
    </xf>
    <xf numFmtId="0" fontId="79" fillId="0" borderId="3" xfId="0" applyFont="1" applyBorder="1" applyAlignment="1">
      <alignment horizontal="left" vertical="top" wrapText="1"/>
    </xf>
    <xf numFmtId="0" fontId="98" fillId="0" borderId="103" xfId="17" applyFont="1" applyFill="1" applyBorder="1" applyAlignment="1">
      <alignment horizontal="center" vertical="top" wrapText="1"/>
    </xf>
    <xf numFmtId="0" fontId="98" fillId="0" borderId="0" xfId="17" applyFont="1" applyFill="1" applyBorder="1" applyAlignment="1">
      <alignment horizontal="center" vertical="top" wrapText="1"/>
    </xf>
    <xf numFmtId="0" fontId="98" fillId="0" borderId="104" xfId="17" applyFont="1" applyFill="1" applyBorder="1" applyAlignment="1">
      <alignment horizontal="center" vertical="top" wrapText="1"/>
    </xf>
    <xf numFmtId="0" fontId="98" fillId="0" borderId="105" xfId="17" applyFont="1" applyFill="1" applyBorder="1" applyAlignment="1">
      <alignment horizontal="center" vertical="top" wrapText="1"/>
    </xf>
    <xf numFmtId="0" fontId="98" fillId="0" borderId="106" xfId="17" applyFont="1" applyFill="1" applyBorder="1" applyAlignment="1">
      <alignment horizontal="center" vertical="top" wrapText="1"/>
    </xf>
    <xf numFmtId="0" fontId="98" fillId="0" borderId="107" xfId="17" applyFont="1" applyFill="1" applyBorder="1" applyAlignment="1">
      <alignment horizontal="center" vertical="top" wrapText="1"/>
    </xf>
    <xf numFmtId="0" fontId="98" fillId="0" borderId="23" xfId="0" applyFont="1" applyFill="1" applyBorder="1" applyAlignment="1">
      <alignment horizontal="center" vertical="center"/>
    </xf>
    <xf numFmtId="0" fontId="98" fillId="0" borderId="24" xfId="0" applyFont="1" applyFill="1" applyBorder="1" applyAlignment="1">
      <alignment horizontal="center" vertical="center"/>
    </xf>
    <xf numFmtId="0" fontId="98" fillId="0" borderId="1" xfId="0" applyFont="1" applyFill="1" applyBorder="1" applyAlignment="1">
      <alignment horizontal="center" textRotation="90" wrapText="1"/>
    </xf>
    <xf numFmtId="0" fontId="98" fillId="0" borderId="52" xfId="0" applyFont="1" applyFill="1" applyBorder="1" applyAlignment="1">
      <alignment horizontal="center" textRotation="90" wrapText="1"/>
    </xf>
    <xf numFmtId="0" fontId="98" fillId="0" borderId="3" xfId="17" applyFont="1" applyFill="1" applyBorder="1" applyAlignment="1">
      <alignment horizontal="center" textRotation="90" wrapText="1"/>
    </xf>
    <xf numFmtId="0" fontId="98" fillId="0" borderId="51" xfId="17" applyFont="1" applyFill="1" applyBorder="1" applyAlignment="1">
      <alignment horizontal="center" textRotation="90" wrapText="1"/>
    </xf>
    <xf numFmtId="0" fontId="98" fillId="0" borderId="1" xfId="0" applyFont="1" applyBorder="1" applyAlignment="1">
      <alignment horizontal="center" textRotation="90"/>
    </xf>
    <xf numFmtId="0" fontId="98" fillId="0" borderId="51" xfId="0" applyFont="1" applyBorder="1" applyAlignment="1">
      <alignment horizontal="center" textRotation="90"/>
    </xf>
    <xf numFmtId="0" fontId="98" fillId="0" borderId="8" xfId="0" quotePrefix="1" applyFont="1" applyFill="1" applyBorder="1" applyAlignment="1">
      <alignment horizontal="center" textRotation="90" wrapText="1"/>
    </xf>
    <xf numFmtId="0" fontId="101" fillId="0" borderId="3" xfId="0" applyFont="1" applyFill="1" applyBorder="1" applyAlignment="1">
      <alignment horizontal="center" textRotation="90" wrapText="1"/>
    </xf>
    <xf numFmtId="0" fontId="79" fillId="0" borderId="8" xfId="0" quotePrefix="1" applyFont="1" applyFill="1" applyBorder="1" applyAlignment="1">
      <alignment horizontal="center" textRotation="90" wrapText="1"/>
    </xf>
    <xf numFmtId="0" fontId="85" fillId="0" borderId="3" xfId="0" applyFont="1" applyFill="1" applyBorder="1" applyAlignment="1">
      <alignment horizontal="center" textRotation="90" wrapText="1"/>
    </xf>
    <xf numFmtId="0" fontId="85" fillId="0" borderId="6" xfId="0" applyFont="1" applyFill="1" applyBorder="1" applyAlignment="1">
      <alignment horizontal="center" textRotation="90" wrapText="1"/>
    </xf>
    <xf numFmtId="0" fontId="18" fillId="0" borderId="3" xfId="0" quotePrefix="1" applyFont="1" applyFill="1" applyBorder="1" applyAlignment="1">
      <alignment horizontal="left" vertical="top" wrapText="1"/>
    </xf>
    <xf numFmtId="0" fontId="18" fillId="0" borderId="8" xfId="0" quotePrefix="1" applyFont="1" applyFill="1" applyBorder="1" applyAlignment="1">
      <alignment horizontal="center" textRotation="90" wrapText="1"/>
    </xf>
    <xf numFmtId="0" fontId="19" fillId="0" borderId="3" xfId="0" applyFont="1" applyFill="1" applyBorder="1" applyAlignment="1">
      <alignment horizontal="center" textRotation="90" wrapText="1"/>
    </xf>
    <xf numFmtId="0" fontId="61" fillId="0" borderId="3" xfId="17" applyFont="1" applyFill="1" applyBorder="1" applyAlignment="1">
      <alignment horizontal="left" vertical="center" wrapText="1"/>
    </xf>
    <xf numFmtId="0" fontId="22" fillId="0" borderId="44" xfId="17" applyFont="1" applyFill="1" applyBorder="1" applyAlignment="1">
      <alignment horizontal="center" vertical="center" wrapText="1"/>
    </xf>
    <xf numFmtId="0" fontId="22" fillId="0" borderId="46" xfId="17" applyFont="1" applyFill="1" applyBorder="1" applyAlignment="1">
      <alignment horizontal="center" vertical="center" wrapText="1"/>
    </xf>
    <xf numFmtId="0" fontId="22" fillId="0" borderId="45" xfId="17" applyFont="1" applyFill="1" applyBorder="1" applyAlignment="1">
      <alignment horizontal="center" vertical="center" wrapText="1"/>
    </xf>
    <xf numFmtId="0" fontId="79" fillId="0" borderId="2" xfId="17" applyFont="1" applyFill="1" applyBorder="1" applyAlignment="1">
      <alignment horizontal="left" vertical="top" wrapText="1"/>
    </xf>
    <xf numFmtId="0" fontId="61" fillId="0" borderId="3" xfId="17" applyFont="1" applyFill="1" applyBorder="1" applyAlignment="1">
      <alignment horizontal="left" vertical="top" wrapText="1"/>
    </xf>
    <xf numFmtId="0" fontId="53" fillId="0" borderId="3" xfId="0" applyFont="1" applyBorder="1" applyAlignment="1">
      <alignment wrapText="1"/>
    </xf>
    <xf numFmtId="0" fontId="18" fillId="0" borderId="2" xfId="17" applyFont="1" applyFill="1" applyBorder="1" applyAlignment="1">
      <alignment horizontal="left" vertical="center" wrapText="1"/>
    </xf>
    <xf numFmtId="0" fontId="18" fillId="0" borderId="1" xfId="17" applyFont="1" applyFill="1" applyBorder="1" applyAlignment="1">
      <alignment horizontal="left" vertical="center" wrapText="1"/>
    </xf>
    <xf numFmtId="0" fontId="18" fillId="0" borderId="0" xfId="17" applyFont="1" applyFill="1" applyBorder="1" applyAlignment="1">
      <alignment horizontal="left" vertical="center" wrapText="1"/>
    </xf>
    <xf numFmtId="0" fontId="18" fillId="0" borderId="1" xfId="17" applyFont="1" applyFill="1" applyBorder="1" applyAlignment="1">
      <alignment horizontal="left" wrapText="1"/>
    </xf>
    <xf numFmtId="0" fontId="18" fillId="0" borderId="0" xfId="17" applyFont="1" applyFill="1" applyBorder="1" applyAlignment="1">
      <alignment horizontal="left" wrapText="1"/>
    </xf>
    <xf numFmtId="0" fontId="18" fillId="0" borderId="2" xfId="17" applyFont="1" applyFill="1" applyBorder="1" applyAlignment="1">
      <alignment horizontal="left" wrapText="1"/>
    </xf>
    <xf numFmtId="0" fontId="79" fillId="0" borderId="3" xfId="17" applyFont="1" applyFill="1" applyBorder="1" applyAlignment="1">
      <alignment horizontal="left" vertical="top" wrapText="1"/>
    </xf>
    <xf numFmtId="0" fontId="18" fillId="0" borderId="23" xfId="17" applyFont="1" applyFill="1" applyBorder="1" applyAlignment="1">
      <alignment horizontal="left" vertical="center" wrapText="1"/>
    </xf>
    <xf numFmtId="0" fontId="18" fillId="0" borderId="24" xfId="17" applyFont="1" applyFill="1" applyBorder="1" applyAlignment="1">
      <alignment horizontal="left" vertical="center" wrapText="1"/>
    </xf>
    <xf numFmtId="0" fontId="18" fillId="0" borderId="12" xfId="17" applyFont="1" applyFill="1" applyBorder="1" applyAlignment="1">
      <alignment horizontal="left" vertical="center" wrapText="1"/>
    </xf>
    <xf numFmtId="0" fontId="97" fillId="0" borderId="23" xfId="17" applyFont="1" applyFill="1" applyBorder="1" applyAlignment="1">
      <alignment horizontal="center" vertical="center" wrapText="1"/>
    </xf>
    <xf numFmtId="0" fontId="97" fillId="0" borderId="24" xfId="17" applyFont="1" applyFill="1" applyBorder="1" applyAlignment="1">
      <alignment horizontal="center" vertical="center" wrapText="1"/>
    </xf>
    <xf numFmtId="0" fontId="97" fillId="0" borderId="12" xfId="17" applyFont="1" applyFill="1" applyBorder="1" applyAlignment="1">
      <alignment horizontal="center" vertical="center" wrapText="1"/>
    </xf>
    <xf numFmtId="0" fontId="18" fillId="0" borderId="3" xfId="0" applyFont="1" applyFill="1" applyBorder="1" applyAlignment="1">
      <alignment horizontal="left" vertical="top" wrapText="1"/>
    </xf>
    <xf numFmtId="0" fontId="18" fillId="0" borderId="3" xfId="0" applyFont="1" applyFill="1" applyBorder="1" applyAlignment="1">
      <alignment vertical="top" wrapText="1"/>
    </xf>
    <xf numFmtId="0" fontId="19" fillId="0" borderId="22" xfId="0" applyFont="1" applyFill="1" applyBorder="1" applyAlignment="1">
      <alignment wrapText="1"/>
    </xf>
    <xf numFmtId="0" fontId="79" fillId="0" borderId="1" xfId="0" applyFont="1" applyFill="1" applyBorder="1" applyAlignment="1">
      <alignment horizontal="left" vertical="top" wrapText="1"/>
    </xf>
    <xf numFmtId="0" fontId="79" fillId="0" borderId="0" xfId="0" applyFont="1" applyFill="1" applyBorder="1" applyAlignment="1">
      <alignment horizontal="left" vertical="top" wrapText="1"/>
    </xf>
    <xf numFmtId="0" fontId="79" fillId="0" borderId="2" xfId="0" applyFont="1" applyFill="1" applyBorder="1" applyAlignment="1">
      <alignment horizontal="left" vertical="top" wrapText="1"/>
    </xf>
    <xf numFmtId="0" fontId="61" fillId="0" borderId="3" xfId="0" applyFont="1" applyFill="1" applyBorder="1" applyAlignment="1">
      <alignment horizontal="left" vertical="top" wrapText="1"/>
    </xf>
    <xf numFmtId="0" fontId="22" fillId="0" borderId="3" xfId="0" applyFont="1" applyFill="1" applyBorder="1" applyAlignment="1">
      <alignment horizontal="center" vertical="center" wrapText="1"/>
    </xf>
    <xf numFmtId="0" fontId="92" fillId="0" borderId="1" xfId="17" applyFont="1" applyFill="1" applyBorder="1" applyAlignment="1">
      <alignment horizontal="center"/>
    </xf>
    <xf numFmtId="0" fontId="92" fillId="0" borderId="0" xfId="17" applyFont="1" applyFill="1" applyBorder="1" applyAlignment="1">
      <alignment horizontal="center"/>
    </xf>
    <xf numFmtId="0" fontId="92" fillId="0" borderId="2" xfId="17" applyFont="1" applyFill="1" applyBorder="1" applyAlignment="1">
      <alignment horizontal="center"/>
    </xf>
    <xf numFmtId="0" fontId="92" fillId="0" borderId="1" xfId="17" applyFont="1" applyFill="1" applyBorder="1" applyAlignment="1">
      <alignment horizontal="center" wrapText="1"/>
    </xf>
    <xf numFmtId="0" fontId="92" fillId="0" borderId="0" xfId="17" applyFont="1" applyFill="1" applyBorder="1" applyAlignment="1">
      <alignment horizontal="center" wrapText="1"/>
    </xf>
    <xf numFmtId="0" fontId="85" fillId="0" borderId="0" xfId="0" applyFont="1" applyFill="1" applyBorder="1" applyAlignment="1"/>
    <xf numFmtId="0" fontId="85" fillId="0" borderId="2" xfId="0" applyFont="1" applyFill="1" applyBorder="1" applyAlignment="1"/>
    <xf numFmtId="0" fontId="85" fillId="0" borderId="1" xfId="0" applyFont="1" applyFill="1" applyBorder="1" applyAlignment="1"/>
    <xf numFmtId="0" fontId="79" fillId="0" borderId="8" xfId="0" applyFont="1" applyFill="1" applyBorder="1" applyAlignment="1">
      <alignment horizontal="center" textRotation="90" wrapText="1"/>
    </xf>
    <xf numFmtId="0" fontId="85" fillId="0" borderId="3" xfId="0" applyFont="1" applyBorder="1" applyAlignment="1">
      <alignment horizontal="center" textRotation="90" wrapText="1"/>
    </xf>
    <xf numFmtId="0" fontId="85" fillId="0" borderId="6" xfId="0" applyFont="1" applyBorder="1" applyAlignment="1">
      <alignment horizontal="center" textRotation="90" wrapText="1"/>
    </xf>
    <xf numFmtId="0" fontId="103" fillId="0" borderId="3" xfId="0" applyFont="1" applyBorder="1" applyAlignment="1">
      <alignment horizontal="left" wrapText="1"/>
    </xf>
    <xf numFmtId="0" fontId="98" fillId="0" borderId="3" xfId="17" applyFont="1" applyFill="1" applyBorder="1" applyAlignment="1">
      <alignment horizontal="left" vertical="center" wrapText="1"/>
    </xf>
    <xf numFmtId="0" fontId="98" fillId="0" borderId="6" xfId="17" applyFont="1" applyFill="1" applyBorder="1" applyAlignment="1">
      <alignment horizontal="left" vertical="center" wrapText="1"/>
    </xf>
    <xf numFmtId="0" fontId="24" fillId="0" borderId="1" xfId="17" applyFont="1" applyFill="1" applyBorder="1" applyAlignment="1">
      <alignment horizontal="center" wrapText="1"/>
    </xf>
    <xf numFmtId="0" fontId="24" fillId="0" borderId="0" xfId="17" applyFont="1" applyFill="1" applyBorder="1" applyAlignment="1">
      <alignment horizontal="center" wrapText="1"/>
    </xf>
    <xf numFmtId="0" fontId="19" fillId="0" borderId="0" xfId="0" applyFont="1" applyFill="1" applyBorder="1" applyAlignment="1"/>
    <xf numFmtId="0" fontId="19" fillId="0" borderId="2" xfId="0" applyFont="1" applyFill="1" applyBorder="1" applyAlignment="1"/>
    <xf numFmtId="0" fontId="19" fillId="0" borderId="1" xfId="0" applyFont="1" applyFill="1" applyBorder="1" applyAlignment="1"/>
    <xf numFmtId="0" fontId="61" fillId="0" borderId="8" xfId="17" applyFont="1" applyBorder="1" applyAlignment="1">
      <alignment textRotation="90"/>
    </xf>
    <xf numFmtId="0" fontId="59" fillId="0" borderId="3" xfId="0" applyFont="1" applyBorder="1" applyAlignment="1">
      <alignment textRotation="90"/>
    </xf>
    <xf numFmtId="0" fontId="58" fillId="0" borderId="3" xfId="0" applyFont="1" applyFill="1" applyBorder="1" applyAlignment="1">
      <alignment horizontal="left" vertical="top" wrapText="1"/>
    </xf>
    <xf numFmtId="0" fontId="98" fillId="0" borderId="3" xfId="0" applyFont="1" applyFill="1" applyBorder="1" applyAlignment="1">
      <alignment horizontal="left" vertical="top" wrapText="1"/>
    </xf>
    <xf numFmtId="0" fontId="22" fillId="0" borderId="2" xfId="0" applyFont="1" applyFill="1" applyBorder="1" applyAlignment="1">
      <alignment horizontal="center" vertical="center" wrapText="1"/>
    </xf>
    <xf numFmtId="0" fontId="61" fillId="0" borderId="1" xfId="0" applyFont="1" applyFill="1" applyBorder="1" applyAlignment="1">
      <alignment horizontal="left" vertical="top" wrapText="1"/>
    </xf>
    <xf numFmtId="0" fontId="58" fillId="0" borderId="3" xfId="0" quotePrefix="1" applyFont="1" applyFill="1" applyBorder="1" applyAlignment="1">
      <alignment horizontal="left" vertical="top" wrapText="1"/>
    </xf>
    <xf numFmtId="0" fontId="18" fillId="0" borderId="3" xfId="17" applyFont="1" applyFill="1" applyBorder="1" applyAlignment="1">
      <alignment horizontal="left" vertical="center" wrapText="1"/>
    </xf>
    <xf numFmtId="0" fontId="61" fillId="0" borderId="3" xfId="17" applyFont="1" applyFill="1" applyBorder="1" applyAlignment="1">
      <alignment horizontal="left" wrapText="1"/>
    </xf>
    <xf numFmtId="0" fontId="98" fillId="0" borderId="1" xfId="17" applyFont="1" applyFill="1" applyBorder="1" applyAlignment="1">
      <alignment horizontal="center" vertical="top" wrapText="1"/>
    </xf>
    <xf numFmtId="0" fontId="98" fillId="0" borderId="2" xfId="17" applyFont="1" applyFill="1" applyBorder="1" applyAlignment="1">
      <alignment horizontal="center" vertical="top" wrapText="1"/>
    </xf>
    <xf numFmtId="0" fontId="61" fillId="0" borderId="2" xfId="17" applyFont="1" applyFill="1" applyBorder="1" applyAlignment="1">
      <alignment horizontal="left" vertical="top" wrapText="1"/>
    </xf>
    <xf numFmtId="0" fontId="18" fillId="0" borderId="1" xfId="0" applyFont="1" applyFill="1" applyBorder="1" applyAlignment="1">
      <alignment horizontal="center" textRotation="90" wrapText="1"/>
    </xf>
    <xf numFmtId="0" fontId="18" fillId="0" borderId="52" xfId="0" applyFont="1" applyFill="1" applyBorder="1" applyAlignment="1">
      <alignment horizontal="center" textRotation="90" wrapText="1"/>
    </xf>
    <xf numFmtId="0" fontId="18" fillId="0" borderId="1" xfId="0" applyFont="1" applyBorder="1" applyAlignment="1">
      <alignment horizontal="center" textRotation="90"/>
    </xf>
    <xf numFmtId="0" fontId="18" fillId="0" borderId="51" xfId="0" applyFont="1" applyBorder="1" applyAlignment="1">
      <alignment horizontal="center" textRotation="90"/>
    </xf>
    <xf numFmtId="0" fontId="18" fillId="0" borderId="23"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3" xfId="17" applyFont="1" applyFill="1" applyBorder="1" applyAlignment="1">
      <alignment horizontal="center" textRotation="90" wrapText="1"/>
    </xf>
    <xf numFmtId="0" fontId="18" fillId="0" borderId="51" xfId="17" applyFont="1" applyFill="1" applyBorder="1" applyAlignment="1">
      <alignment horizontal="center" textRotation="90" wrapText="1"/>
    </xf>
    <xf numFmtId="0" fontId="18" fillId="0" borderId="2" xfId="17" applyFont="1" applyFill="1" applyBorder="1" applyAlignment="1">
      <alignment horizontal="center" vertical="top" wrapText="1"/>
    </xf>
    <xf numFmtId="0" fontId="22" fillId="0" borderId="20" xfId="17" applyFont="1" applyFill="1" applyBorder="1" applyAlignment="1">
      <alignment horizontal="center" vertical="center" textRotation="90" wrapText="1"/>
    </xf>
    <xf numFmtId="0" fontId="18" fillId="0" borderId="3" xfId="0" applyFont="1" applyBorder="1" applyAlignment="1">
      <alignment horizontal="center" textRotation="90"/>
    </xf>
    <xf numFmtId="0" fontId="61" fillId="0" borderId="1" xfId="17" applyFont="1" applyFill="1" applyBorder="1" applyAlignment="1">
      <alignment vertical="top" wrapText="1"/>
    </xf>
    <xf numFmtId="0" fontId="61" fillId="0" borderId="0" xfId="17" applyFont="1" applyFill="1" applyBorder="1" applyAlignment="1">
      <alignment horizontal="left" vertical="top" wrapText="1"/>
    </xf>
    <xf numFmtId="0" fontId="18" fillId="0" borderId="3" xfId="17" applyFont="1" applyFill="1" applyBorder="1" applyAlignment="1">
      <alignment horizontal="left" wrapText="1"/>
    </xf>
    <xf numFmtId="0" fontId="98" fillId="0" borderId="1" xfId="17" applyFont="1" applyFill="1" applyBorder="1" applyAlignment="1">
      <alignment horizontal="left" vertical="center" wrapText="1"/>
    </xf>
    <xf numFmtId="0" fontId="98" fillId="0" borderId="2" xfId="17" applyFont="1" applyFill="1" applyBorder="1" applyAlignment="1">
      <alignment horizontal="left" vertical="center" wrapText="1"/>
    </xf>
    <xf numFmtId="0" fontId="0" fillId="0" borderId="3" xfId="0" applyBorder="1" applyAlignment="1">
      <alignment vertical="top" wrapText="1"/>
    </xf>
    <xf numFmtId="166" fontId="22" fillId="0" borderId="100" xfId="17" applyNumberFormat="1" applyFont="1" applyFill="1" applyBorder="1" applyAlignment="1">
      <alignment horizontal="left" wrapText="1"/>
    </xf>
    <xf numFmtId="166" fontId="22" fillId="0" borderId="101" xfId="17" applyNumberFormat="1" applyFont="1" applyFill="1" applyBorder="1" applyAlignment="1">
      <alignment horizontal="left" wrapText="1"/>
    </xf>
    <xf numFmtId="0" fontId="19" fillId="0" borderId="101" xfId="0" applyFont="1" applyFill="1" applyBorder="1" applyAlignment="1">
      <alignment wrapText="1"/>
    </xf>
    <xf numFmtId="0" fontId="98" fillId="0" borderId="1" xfId="0" applyFont="1" applyFill="1" applyBorder="1" applyAlignment="1">
      <alignment horizontal="left" vertical="top" wrapText="1"/>
    </xf>
    <xf numFmtId="0" fontId="98" fillId="0" borderId="0" xfId="0" applyFont="1" applyFill="1" applyBorder="1" applyAlignment="1">
      <alignment horizontal="left" vertical="top" wrapText="1"/>
    </xf>
    <xf numFmtId="0" fontId="98" fillId="0" borderId="2" xfId="0" applyFont="1" applyFill="1" applyBorder="1" applyAlignment="1">
      <alignment horizontal="left" vertical="top" wrapText="1"/>
    </xf>
    <xf numFmtId="0" fontId="79" fillId="0" borderId="103" xfId="0" applyFont="1" applyFill="1" applyBorder="1" applyAlignment="1">
      <alignment horizontal="center" vertical="top" wrapText="1"/>
    </xf>
    <xf numFmtId="0" fontId="79" fillId="0" borderId="0" xfId="0" applyFont="1" applyFill="1" applyBorder="1" applyAlignment="1">
      <alignment horizontal="center" vertical="top" wrapText="1"/>
    </xf>
    <xf numFmtId="0" fontId="79" fillId="0" borderId="104" xfId="0" applyFont="1" applyFill="1" applyBorder="1" applyAlignment="1">
      <alignment horizontal="center" vertical="top" wrapText="1"/>
    </xf>
    <xf numFmtId="0" fontId="92" fillId="0" borderId="103" xfId="17" applyFont="1" applyFill="1" applyBorder="1" applyAlignment="1">
      <alignment horizontal="center"/>
    </xf>
    <xf numFmtId="0" fontId="92" fillId="0" borderId="104" xfId="17" applyFont="1" applyFill="1" applyBorder="1" applyAlignment="1">
      <alignment horizontal="center"/>
    </xf>
    <xf numFmtId="0" fontId="92" fillId="0" borderId="103" xfId="17" applyFont="1" applyFill="1" applyBorder="1" applyAlignment="1">
      <alignment horizontal="center" wrapText="1"/>
    </xf>
    <xf numFmtId="0" fontId="85" fillId="0" borderId="104" xfId="0" applyFont="1" applyFill="1" applyBorder="1" applyAlignment="1"/>
    <xf numFmtId="0" fontId="85" fillId="0" borderId="105" xfId="0" applyFont="1" applyFill="1" applyBorder="1" applyAlignment="1"/>
    <xf numFmtId="0" fontId="85" fillId="0" borderId="106" xfId="0" applyFont="1" applyFill="1" applyBorder="1" applyAlignment="1"/>
    <xf numFmtId="0" fontId="85" fillId="0" borderId="107" xfId="0" applyFont="1" applyFill="1" applyBorder="1" applyAlignment="1"/>
    <xf numFmtId="0" fontId="79" fillId="0" borderId="9" xfId="0" quotePrefix="1" applyFont="1" applyFill="1" applyBorder="1" applyAlignment="1">
      <alignment horizontal="center" textRotation="90" wrapText="1"/>
    </xf>
    <xf numFmtId="0" fontId="85" fillId="0" borderId="1" xfId="0" applyFont="1" applyFill="1" applyBorder="1" applyAlignment="1">
      <alignment horizontal="center" textRotation="90" wrapText="1"/>
    </xf>
    <xf numFmtId="0" fontId="97" fillId="0" borderId="44" xfId="16" applyFont="1" applyFill="1" applyBorder="1" applyAlignment="1">
      <alignment horizontal="center" vertical="center" wrapText="1"/>
    </xf>
    <xf numFmtId="0" fontId="102" fillId="0" borderId="46" xfId="0" applyFont="1" applyBorder="1" applyAlignment="1">
      <alignment horizontal="center" vertical="center" wrapText="1"/>
    </xf>
    <xf numFmtId="0" fontId="102" fillId="0" borderId="45" xfId="0" applyFont="1" applyBorder="1" applyAlignment="1">
      <alignment horizontal="center" vertical="center" wrapText="1"/>
    </xf>
    <xf numFmtId="0" fontId="22" fillId="0" borderId="1" xfId="0" applyFont="1" applyFill="1" applyBorder="1" applyAlignment="1">
      <alignment horizontal="center" vertical="center" wrapText="1"/>
    </xf>
    <xf numFmtId="0" fontId="22" fillId="0" borderId="3" xfId="0" applyFont="1" applyFill="1" applyBorder="1" applyAlignment="1">
      <alignment horizontal="center" vertical="top" wrapText="1"/>
    </xf>
    <xf numFmtId="0" fontId="24" fillId="0" borderId="1" xfId="17" applyFont="1" applyFill="1" applyBorder="1" applyAlignment="1">
      <alignment horizontal="center"/>
    </xf>
    <xf numFmtId="0" fontId="24" fillId="0" borderId="0" xfId="17" applyFont="1" applyFill="1" applyBorder="1" applyAlignment="1">
      <alignment horizontal="center"/>
    </xf>
    <xf numFmtId="0" fontId="24" fillId="0" borderId="2" xfId="17" applyFont="1" applyFill="1" applyBorder="1" applyAlignment="1">
      <alignment horizontal="center"/>
    </xf>
    <xf numFmtId="0" fontId="61" fillId="0" borderId="0" xfId="0" applyFont="1" applyFill="1" applyBorder="1" applyAlignment="1">
      <alignment vertical="top" wrapText="1"/>
    </xf>
    <xf numFmtId="0" fontId="59" fillId="0" borderId="0" xfId="0" applyFont="1" applyBorder="1" applyAlignment="1">
      <alignment vertical="top"/>
    </xf>
    <xf numFmtId="0" fontId="61" fillId="0" borderId="8" xfId="0" quotePrefix="1" applyFont="1" applyBorder="1" applyAlignment="1">
      <alignment horizontal="center" textRotation="90" wrapText="1"/>
    </xf>
    <xf numFmtId="0" fontId="59" fillId="0" borderId="3" xfId="0" applyFont="1" applyBorder="1" applyAlignment="1">
      <alignment horizontal="center" textRotation="90" wrapText="1"/>
    </xf>
    <xf numFmtId="0" fontId="18" fillId="0" borderId="8" xfId="0" applyFont="1" applyFill="1" applyBorder="1" applyAlignment="1">
      <alignment horizontal="center" textRotation="90" wrapText="1"/>
    </xf>
    <xf numFmtId="0" fontId="19" fillId="0" borderId="3" xfId="0" applyFont="1" applyBorder="1" applyAlignment="1">
      <alignment horizontal="center" textRotation="90" wrapText="1"/>
    </xf>
    <xf numFmtId="0" fontId="79" fillId="2" borderId="1" xfId="17" applyFont="1" applyFill="1" applyBorder="1" applyAlignment="1">
      <alignment horizontal="left" vertical="top" wrapText="1"/>
    </xf>
    <xf numFmtId="0" fontId="98" fillId="0" borderId="3" xfId="0" applyFont="1" applyFill="1" applyBorder="1" applyAlignment="1">
      <alignment vertical="top" wrapText="1"/>
    </xf>
    <xf numFmtId="0" fontId="98" fillId="0" borderId="1" xfId="0" applyFont="1" applyFill="1" applyBorder="1" applyAlignment="1">
      <alignment vertical="top" wrapText="1"/>
    </xf>
    <xf numFmtId="0" fontId="98" fillId="0" borderId="23" xfId="0" applyFont="1" applyFill="1" applyBorder="1" applyAlignment="1">
      <alignment horizontal="left" vertical="top" wrapText="1"/>
    </xf>
    <xf numFmtId="0" fontId="98" fillId="0" borderId="103" xfId="0" applyFont="1" applyFill="1" applyBorder="1" applyAlignment="1">
      <alignment horizontal="left" vertical="top" wrapText="1"/>
    </xf>
    <xf numFmtId="0" fontId="98" fillId="0" borderId="113" xfId="0" applyFont="1" applyFill="1" applyBorder="1" applyAlignment="1">
      <alignment horizontal="left" vertical="top" wrapText="1"/>
    </xf>
    <xf numFmtId="0" fontId="98" fillId="0" borderId="112" xfId="0" applyFont="1" applyFill="1" applyBorder="1" applyAlignment="1">
      <alignment horizontal="left" vertical="top" wrapText="1"/>
    </xf>
    <xf numFmtId="0" fontId="98" fillId="0" borderId="104" xfId="0" applyFont="1" applyFill="1" applyBorder="1" applyAlignment="1">
      <alignment horizontal="left" vertical="top" wrapText="1"/>
    </xf>
    <xf numFmtId="0" fontId="98" fillId="0" borderId="112" xfId="0" applyFont="1" applyFill="1" applyBorder="1" applyAlignment="1">
      <alignment vertical="top" wrapText="1"/>
    </xf>
    <xf numFmtId="0" fontId="98" fillId="0" borderId="141" xfId="0" applyFont="1" applyFill="1" applyBorder="1" applyAlignment="1">
      <alignment horizontal="left" vertical="top" wrapText="1"/>
    </xf>
    <xf numFmtId="0" fontId="97" fillId="0" borderId="110" xfId="17" applyFont="1" applyFill="1" applyBorder="1" applyAlignment="1">
      <alignment horizontal="center" vertical="center" wrapText="1"/>
    </xf>
    <xf numFmtId="0" fontId="97" fillId="0" borderId="112" xfId="17" applyFont="1" applyFill="1" applyBorder="1" applyAlignment="1">
      <alignment horizontal="center" vertical="center" wrapText="1"/>
    </xf>
    <xf numFmtId="0" fontId="97" fillId="0" borderId="114" xfId="17" applyFont="1" applyFill="1" applyBorder="1" applyAlignment="1">
      <alignment horizontal="center" vertical="center" wrapText="1"/>
    </xf>
    <xf numFmtId="0" fontId="97" fillId="0" borderId="100" xfId="0" applyFont="1" applyFill="1" applyBorder="1" applyAlignment="1">
      <alignment horizontal="center" vertical="center" wrapText="1"/>
    </xf>
    <xf numFmtId="0" fontId="97" fillId="0" borderId="103" xfId="0" applyFont="1" applyFill="1" applyBorder="1" applyAlignment="1">
      <alignment horizontal="center" vertical="center" wrapText="1"/>
    </xf>
    <xf numFmtId="0" fontId="97" fillId="0" borderId="145" xfId="0" applyFont="1" applyFill="1" applyBorder="1" applyAlignment="1">
      <alignment horizontal="center" vertical="center" wrapText="1"/>
    </xf>
    <xf numFmtId="0" fontId="104" fillId="0" borderId="108" xfId="0" applyFont="1" applyBorder="1" applyAlignment="1">
      <alignment vertical="top" wrapText="1"/>
    </xf>
    <xf numFmtId="0" fontId="98" fillId="0" borderId="112" xfId="17" applyFont="1" applyFill="1" applyBorder="1" applyAlignment="1">
      <alignment horizontal="center" vertical="top" wrapText="1"/>
    </xf>
    <xf numFmtId="0" fontId="22" fillId="0" borderId="16" xfId="17" applyFont="1" applyFill="1" applyBorder="1" applyAlignment="1">
      <alignment horizontal="center" vertical="center" textRotation="90" wrapText="1"/>
    </xf>
    <xf numFmtId="0" fontId="22" fillId="0" borderId="43" xfId="17" applyFont="1" applyFill="1" applyBorder="1" applyAlignment="1">
      <alignment horizontal="center" vertical="center" textRotation="90" wrapText="1"/>
    </xf>
    <xf numFmtId="0" fontId="22" fillId="0" borderId="8" xfId="17" applyFont="1" applyFill="1" applyBorder="1" applyAlignment="1">
      <alignment horizontal="center" wrapText="1"/>
    </xf>
    <xf numFmtId="0" fontId="22" fillId="0" borderId="51" xfId="17" applyFont="1" applyFill="1" applyBorder="1" applyAlignment="1">
      <alignment horizontal="center" wrapText="1"/>
    </xf>
    <xf numFmtId="0" fontId="18" fillId="0" borderId="3" xfId="0" applyFont="1" applyFill="1" applyBorder="1" applyAlignment="1">
      <alignment horizontal="left" vertical="center" wrapText="1"/>
    </xf>
    <xf numFmtId="0" fontId="18" fillId="0" borderId="20" xfId="0" applyFont="1" applyFill="1" applyBorder="1" applyAlignment="1">
      <alignment horizontal="left" vertical="top" wrapText="1"/>
    </xf>
    <xf numFmtId="0" fontId="58" fillId="0" borderId="3" xfId="0" applyFont="1" applyFill="1" applyBorder="1" applyAlignment="1">
      <alignment horizontal="center" vertical="top" wrapText="1"/>
    </xf>
    <xf numFmtId="0" fontId="68" fillId="0" borderId="3" xfId="0" applyFont="1" applyFill="1" applyBorder="1" applyAlignment="1">
      <alignment horizontal="left" vertical="top" wrapText="1"/>
    </xf>
    <xf numFmtId="0" fontId="22" fillId="0" borderId="104" xfId="17" applyFont="1" applyFill="1" applyBorder="1" applyAlignment="1">
      <alignment horizontal="center" vertical="center" wrapText="1"/>
    </xf>
    <xf numFmtId="0" fontId="22" fillId="0" borderId="136" xfId="17" applyFont="1" applyFill="1" applyBorder="1" applyAlignment="1">
      <alignment horizontal="center" vertical="center" wrapText="1"/>
    </xf>
    <xf numFmtId="0" fontId="22" fillId="0" borderId="8" xfId="17" applyFont="1" applyFill="1" applyBorder="1" applyAlignment="1">
      <alignment horizontal="center" vertical="center" wrapText="1"/>
    </xf>
    <xf numFmtId="0" fontId="22" fillId="0" borderId="51" xfId="17" applyFont="1" applyFill="1" applyBorder="1" applyAlignment="1">
      <alignment horizontal="center" vertical="center" wrapText="1"/>
    </xf>
    <xf numFmtId="0" fontId="22" fillId="0" borderId="9" xfId="17" applyFont="1" applyFill="1" applyBorder="1" applyAlignment="1">
      <alignment horizontal="center"/>
    </xf>
    <xf numFmtId="0" fontId="22" fillId="0" borderId="10" xfId="17" applyFont="1" applyFill="1" applyBorder="1" applyAlignment="1">
      <alignment horizontal="center"/>
    </xf>
    <xf numFmtId="0" fontId="22" fillId="0" borderId="9" xfId="17" applyFont="1" applyFill="1" applyBorder="1" applyAlignment="1">
      <alignment horizontal="center" vertical="center" wrapText="1"/>
    </xf>
    <xf numFmtId="0" fontId="22" fillId="0" borderId="52" xfId="17" applyFont="1" applyFill="1" applyBorder="1" applyAlignment="1">
      <alignment horizontal="center" vertical="center" wrapText="1"/>
    </xf>
    <xf numFmtId="0" fontId="18" fillId="0" borderId="48" xfId="17" applyFont="1" applyFill="1" applyBorder="1" applyAlignment="1">
      <alignment horizontal="left" vertical="top" wrapText="1"/>
    </xf>
    <xf numFmtId="166" fontId="22" fillId="0" borderId="10" xfId="17" applyNumberFormat="1" applyFont="1" applyFill="1" applyBorder="1" applyAlignment="1">
      <alignment horizontal="left" wrapText="1"/>
    </xf>
    <xf numFmtId="0" fontId="100" fillId="0" borderId="3" xfId="0" applyFont="1" applyFill="1" applyBorder="1" applyAlignment="1">
      <alignment horizontal="left" vertical="top" wrapText="1"/>
    </xf>
    <xf numFmtId="0" fontId="100" fillId="0" borderId="6" xfId="0" applyFont="1" applyFill="1" applyBorder="1" applyAlignment="1">
      <alignment horizontal="left" vertical="top" wrapText="1"/>
    </xf>
    <xf numFmtId="0" fontId="57" fillId="0" borderId="2" xfId="0" applyFont="1" applyBorder="1" applyAlignment="1">
      <alignment horizontal="left" vertical="top" wrapText="1"/>
    </xf>
    <xf numFmtId="0" fontId="22" fillId="0" borderId="112" xfId="0" applyFont="1" applyFill="1" applyBorder="1" applyAlignment="1">
      <alignment horizontal="center" vertical="top" wrapText="1"/>
    </xf>
    <xf numFmtId="0" fontId="22" fillId="0" borderId="3" xfId="17" applyFont="1" applyFill="1" applyBorder="1" applyAlignment="1">
      <alignment horizontal="center" vertical="center" wrapText="1"/>
    </xf>
    <xf numFmtId="0" fontId="22" fillId="0" borderId="6" xfId="17" applyFont="1" applyFill="1" applyBorder="1" applyAlignment="1">
      <alignment horizontal="center" vertical="center" wrapText="1"/>
    </xf>
    <xf numFmtId="0" fontId="98" fillId="0" borderId="104" xfId="17" applyFont="1" applyFill="1" applyBorder="1" applyAlignment="1">
      <alignment horizontal="left" vertical="top" wrapText="1"/>
    </xf>
    <xf numFmtId="0" fontId="97" fillId="0" borderId="2" xfId="17" applyFont="1" applyFill="1" applyBorder="1" applyAlignment="1">
      <alignment horizontal="center" vertical="top" wrapText="1"/>
    </xf>
    <xf numFmtId="0" fontId="97" fillId="0" borderId="10" xfId="17" applyFont="1" applyFill="1" applyBorder="1" applyAlignment="1">
      <alignment horizontal="center" vertical="center" wrapText="1"/>
    </xf>
    <xf numFmtId="0" fontId="97" fillId="0" borderId="51" xfId="17" applyFont="1" applyFill="1" applyBorder="1" applyAlignment="1">
      <alignment horizontal="center" vertical="center" wrapText="1"/>
    </xf>
    <xf numFmtId="0" fontId="18" fillId="0" borderId="112" xfId="0" applyFont="1" applyFill="1" applyBorder="1" applyAlignment="1">
      <alignment horizontal="left" vertical="top" wrapText="1"/>
    </xf>
    <xf numFmtId="0" fontId="22" fillId="0" borderId="1" xfId="17" applyFont="1" applyFill="1" applyBorder="1" applyAlignment="1">
      <alignment horizontal="center" vertical="center" wrapText="1"/>
    </xf>
    <xf numFmtId="0" fontId="18" fillId="0" borderId="112" xfId="0" applyFont="1" applyFill="1" applyBorder="1" applyAlignment="1">
      <alignment vertical="top" wrapText="1"/>
    </xf>
    <xf numFmtId="0" fontId="18" fillId="0" borderId="6" xfId="0" applyFont="1" applyFill="1" applyBorder="1" applyAlignment="1">
      <alignment horizontal="left" vertical="top" wrapText="1"/>
    </xf>
    <xf numFmtId="0" fontId="68" fillId="0" borderId="3" xfId="0" applyFont="1" applyFill="1" applyBorder="1" applyAlignment="1">
      <alignment vertical="top" wrapText="1"/>
    </xf>
    <xf numFmtId="0" fontId="18" fillId="0" borderId="2" xfId="0" applyFont="1" applyFill="1" applyBorder="1" applyAlignment="1">
      <alignment vertical="top" wrapText="1"/>
    </xf>
    <xf numFmtId="0" fontId="68" fillId="0" borderId="6" xfId="0" applyFont="1" applyFill="1" applyBorder="1" applyAlignment="1">
      <alignment horizontal="left" vertical="top" wrapText="1"/>
    </xf>
    <xf numFmtId="0" fontId="18" fillId="0" borderId="1" xfId="17" applyFont="1" applyFill="1" applyBorder="1" applyAlignment="1">
      <alignment vertical="top" wrapText="1"/>
    </xf>
    <xf numFmtId="0" fontId="18" fillId="0" borderId="0" xfId="17" applyFont="1" applyFill="1" applyBorder="1" applyAlignment="1">
      <alignment vertical="top" wrapText="1"/>
    </xf>
    <xf numFmtId="0" fontId="18" fillId="0" borderId="2" xfId="17" applyFont="1" applyFill="1" applyBorder="1" applyAlignment="1">
      <alignment vertical="top" wrapText="1"/>
    </xf>
    <xf numFmtId="0" fontId="18" fillId="0" borderId="8" xfId="0" applyFont="1" applyFill="1" applyBorder="1" applyAlignment="1">
      <alignment horizontal="center" textRotation="90"/>
    </xf>
    <xf numFmtId="0" fontId="18" fillId="0" borderId="3" xfId="0" applyFont="1" applyFill="1" applyBorder="1" applyAlignment="1">
      <alignment horizontal="center" textRotation="90"/>
    </xf>
    <xf numFmtId="0" fontId="18" fillId="0" borderId="51" xfId="0" applyFont="1" applyFill="1" applyBorder="1" applyAlignment="1">
      <alignment horizontal="center" textRotation="90"/>
    </xf>
    <xf numFmtId="0" fontId="93" fillId="0" borderId="8" xfId="0" applyFont="1" applyBorder="1" applyAlignment="1">
      <alignment textRotation="90" wrapText="1"/>
    </xf>
    <xf numFmtId="0" fontId="93" fillId="0" borderId="3" xfId="0" applyFont="1" applyBorder="1" applyAlignment="1">
      <alignment textRotation="90" wrapText="1"/>
    </xf>
    <xf numFmtId="0" fontId="93" fillId="0" borderId="51" xfId="0" applyFont="1" applyBorder="1" applyAlignment="1">
      <alignment textRotation="90" wrapText="1"/>
    </xf>
    <xf numFmtId="0" fontId="79" fillId="0" borderId="3" xfId="0" applyFont="1" applyFill="1" applyBorder="1" applyAlignment="1">
      <alignment horizontal="center" textRotation="90" wrapText="1"/>
    </xf>
    <xf numFmtId="0" fontId="79" fillId="0" borderId="51" xfId="0" applyFont="1" applyFill="1" applyBorder="1" applyAlignment="1">
      <alignment horizontal="center" textRotation="90" wrapText="1"/>
    </xf>
    <xf numFmtId="166" fontId="97" fillId="0" borderId="100" xfId="17" applyNumberFormat="1" applyFont="1" applyFill="1" applyBorder="1" applyAlignment="1">
      <alignment horizontal="left" wrapText="1"/>
    </xf>
    <xf numFmtId="166" fontId="97" fillId="0" borderId="102" xfId="17" applyNumberFormat="1" applyFont="1" applyFill="1" applyBorder="1" applyAlignment="1">
      <alignment horizontal="left" wrapText="1"/>
    </xf>
    <xf numFmtId="0" fontId="97" fillId="0" borderId="8" xfId="17" applyFont="1" applyBorder="1" applyAlignment="1">
      <alignment horizontal="center" vertical="center" wrapText="1"/>
    </xf>
    <xf numFmtId="0" fontId="97" fillId="0" borderId="51" xfId="17" applyFont="1" applyBorder="1" applyAlignment="1">
      <alignment horizontal="center" vertical="center" wrapText="1"/>
    </xf>
    <xf numFmtId="0" fontId="98" fillId="0" borderId="103" xfId="17" applyFont="1" applyFill="1" applyBorder="1" applyAlignment="1">
      <alignment vertical="top" wrapText="1"/>
    </xf>
    <xf numFmtId="0" fontId="98" fillId="0" borderId="104" xfId="17" applyFont="1" applyFill="1" applyBorder="1" applyAlignment="1">
      <alignment vertical="top" wrapText="1"/>
    </xf>
    <xf numFmtId="0" fontId="100" fillId="0" borderId="104" xfId="17" applyFont="1" applyFill="1" applyBorder="1" applyAlignment="1">
      <alignment horizontal="left" vertical="top" wrapText="1"/>
    </xf>
    <xf numFmtId="0" fontId="18" fillId="0" borderId="108" xfId="17" applyFont="1" applyFill="1" applyBorder="1" applyAlignment="1">
      <alignment horizontal="center" vertical="center" wrapText="1"/>
    </xf>
    <xf numFmtId="0" fontId="98" fillId="0" borderId="103" xfId="17" applyFont="1" applyFill="1" applyBorder="1" applyAlignment="1">
      <alignment horizontal="center" wrapText="1"/>
    </xf>
    <xf numFmtId="0" fontId="98" fillId="0" borderId="104" xfId="17" applyFont="1" applyFill="1" applyBorder="1" applyAlignment="1">
      <alignment horizontal="center" wrapText="1"/>
    </xf>
    <xf numFmtId="0" fontId="98" fillId="0" borderId="0" xfId="17" applyFont="1" applyFill="1" applyBorder="1" applyAlignment="1">
      <alignment vertical="top" wrapText="1"/>
    </xf>
    <xf numFmtId="0" fontId="97" fillId="0" borderId="1" xfId="17" applyFont="1" applyFill="1" applyBorder="1" applyAlignment="1">
      <alignment horizontal="center"/>
    </xf>
    <xf numFmtId="0" fontId="97" fillId="0" borderId="2" xfId="17" applyFont="1" applyFill="1" applyBorder="1" applyAlignment="1">
      <alignment horizontal="center"/>
    </xf>
    <xf numFmtId="0" fontId="100" fillId="0" borderId="104" xfId="17" applyFont="1" applyFill="1" applyBorder="1" applyAlignment="1">
      <alignment horizontal="left" wrapText="1"/>
    </xf>
    <xf numFmtId="0" fontId="100" fillId="0" borderId="104" xfId="17" applyFont="1" applyFill="1" applyBorder="1" applyAlignment="1">
      <alignment horizontal="left" vertical="center" wrapText="1"/>
    </xf>
    <xf numFmtId="0" fontId="18" fillId="0" borderId="111" xfId="0" applyFont="1" applyFill="1" applyBorder="1" applyAlignment="1">
      <alignment horizontal="left" vertical="top" wrapText="1"/>
    </xf>
    <xf numFmtId="0" fontId="22" fillId="0" borderId="67" xfId="17" applyFont="1" applyFill="1" applyBorder="1" applyAlignment="1">
      <alignment horizontal="center" vertical="center" textRotation="90" wrapText="1"/>
    </xf>
    <xf numFmtId="0" fontId="22" fillId="0" borderId="80" xfId="17" applyFont="1" applyFill="1" applyBorder="1" applyAlignment="1">
      <alignment horizontal="center" vertical="center" textRotation="90" wrapText="1"/>
    </xf>
    <xf numFmtId="0" fontId="18" fillId="0" borderId="2" xfId="0" applyFont="1" applyFill="1" applyBorder="1" applyAlignment="1">
      <alignment horizontal="left" wrapText="1"/>
    </xf>
    <xf numFmtId="0" fontId="18" fillId="0" borderId="1" xfId="0" applyFont="1" applyFill="1" applyBorder="1" applyAlignment="1">
      <alignment vertical="top" wrapText="1"/>
    </xf>
    <xf numFmtId="0" fontId="98" fillId="0" borderId="1" xfId="17" applyFont="1" applyFill="1" applyBorder="1" applyAlignment="1">
      <alignment horizontal="left" vertical="top" wrapText="1"/>
    </xf>
    <xf numFmtId="0" fontId="98" fillId="0" borderId="2" xfId="17" applyFont="1" applyFill="1" applyBorder="1" applyAlignment="1">
      <alignment horizontal="left" vertical="top" wrapText="1"/>
    </xf>
    <xf numFmtId="0" fontId="98" fillId="0" borderId="23" xfId="17" applyFont="1" applyFill="1" applyBorder="1" applyAlignment="1">
      <alignment horizontal="left" vertical="top" wrapText="1"/>
    </xf>
    <xf numFmtId="0" fontId="98" fillId="0" borderId="12" xfId="17" applyFont="1" applyFill="1" applyBorder="1" applyAlignment="1">
      <alignment horizontal="left" vertical="top" wrapText="1"/>
    </xf>
    <xf numFmtId="166" fontId="97" fillId="0" borderId="101" xfId="17" applyNumberFormat="1" applyFont="1" applyFill="1" applyBorder="1" applyAlignment="1">
      <alignment horizontal="left" wrapText="1"/>
    </xf>
    <xf numFmtId="0" fontId="24" fillId="0" borderId="48" xfId="0" applyFont="1" applyFill="1" applyBorder="1" applyAlignment="1">
      <alignment horizontal="center" vertical="top" wrapText="1"/>
    </xf>
    <xf numFmtId="0" fontId="24" fillId="0" borderId="0" xfId="0" applyFont="1" applyFill="1" applyBorder="1" applyAlignment="1">
      <alignment horizontal="center" vertical="top" wrapText="1"/>
    </xf>
    <xf numFmtId="0" fontId="24" fillId="0" borderId="2" xfId="0" applyFont="1" applyFill="1" applyBorder="1" applyAlignment="1">
      <alignment horizontal="center" vertical="top" wrapText="1"/>
    </xf>
    <xf numFmtId="0" fontId="18" fillId="0" borderId="48" xfId="0" applyFont="1" applyFill="1" applyBorder="1" applyAlignment="1">
      <alignment horizontal="left" vertical="center" wrapText="1"/>
    </xf>
    <xf numFmtId="0" fontId="97" fillId="0" borderId="3" xfId="17" applyFont="1" applyFill="1" applyBorder="1" applyAlignment="1">
      <alignment horizontal="center" vertical="top" wrapText="1"/>
    </xf>
    <xf numFmtId="0" fontId="97" fillId="0" borderId="6" xfId="17" applyFont="1" applyFill="1" applyBorder="1" applyAlignment="1">
      <alignment horizontal="center" vertical="top" wrapText="1"/>
    </xf>
    <xf numFmtId="0" fontId="97" fillId="0" borderId="8" xfId="17" applyFont="1" applyFill="1" applyBorder="1" applyAlignment="1">
      <alignment horizontal="center" vertical="center" wrapText="1"/>
    </xf>
    <xf numFmtId="0" fontId="18" fillId="0" borderId="108" xfId="17" applyFont="1" applyFill="1" applyBorder="1" applyAlignment="1">
      <alignment horizontal="left" vertical="center" wrapText="1"/>
    </xf>
    <xf numFmtId="0" fontId="18" fillId="0" borderId="1" xfId="17" applyFont="1" applyFill="1" applyBorder="1" applyAlignment="1">
      <alignment horizontal="center" wrapText="1"/>
    </xf>
    <xf numFmtId="0" fontId="18" fillId="0" borderId="2" xfId="17" applyFont="1" applyFill="1" applyBorder="1" applyAlignment="1">
      <alignment horizontal="center" wrapText="1"/>
    </xf>
    <xf numFmtId="0" fontId="57" fillId="0" borderId="2" xfId="17" applyFont="1" applyFill="1" applyBorder="1" applyAlignment="1">
      <alignment horizontal="left" wrapText="1"/>
    </xf>
    <xf numFmtId="0" fontId="57" fillId="0" borderId="2" xfId="17" applyFont="1" applyFill="1" applyBorder="1" applyAlignment="1">
      <alignment horizontal="left" vertical="top" wrapText="1"/>
    </xf>
    <xf numFmtId="0" fontId="58" fillId="0" borderId="1" xfId="17" applyFont="1" applyFill="1" applyBorder="1" applyAlignment="1">
      <alignment vertical="top" wrapText="1"/>
    </xf>
    <xf numFmtId="0" fontId="58" fillId="0" borderId="2" xfId="17" applyFont="1" applyFill="1" applyBorder="1" applyAlignment="1">
      <alignment vertical="top" wrapText="1"/>
    </xf>
    <xf numFmtId="0" fontId="18" fillId="0" borderId="0" xfId="0" applyFont="1" applyFill="1" applyBorder="1" applyAlignment="1">
      <alignment horizontal="left" vertical="center" wrapText="1"/>
    </xf>
    <xf numFmtId="0" fontId="18" fillId="0" borderId="103" xfId="17" applyFont="1" applyFill="1" applyBorder="1" applyAlignment="1">
      <alignment horizontal="left" vertical="top" wrapText="1"/>
    </xf>
    <xf numFmtId="1" fontId="18" fillId="0" borderId="0" xfId="3" applyNumberFormat="1" applyFont="1" applyFill="1" applyBorder="1" applyAlignment="1">
      <alignment horizontal="left" vertical="top" wrapText="1"/>
    </xf>
    <xf numFmtId="1" fontId="18" fillId="0" borderId="103" xfId="3" applyNumberFormat="1" applyFont="1" applyFill="1" applyBorder="1" applyAlignment="1">
      <alignment horizontal="left" vertical="top" wrapText="1"/>
    </xf>
    <xf numFmtId="0" fontId="98" fillId="0" borderId="3" xfId="10" applyFont="1" applyBorder="1" applyAlignment="1">
      <alignment horizontal="left" vertical="top" wrapText="1"/>
    </xf>
    <xf numFmtId="0" fontId="98" fillId="0" borderId="3" xfId="10" applyFont="1" applyBorder="1" applyAlignment="1">
      <alignment horizontal="left" wrapText="1"/>
    </xf>
    <xf numFmtId="0" fontId="18" fillId="0" borderId="4" xfId="10" applyFont="1" applyFill="1" applyBorder="1" applyAlignment="1">
      <alignment horizontal="left" textRotation="90" wrapText="1"/>
    </xf>
    <xf numFmtId="0" fontId="26" fillId="0" borderId="4" xfId="10" applyFont="1" applyFill="1" applyBorder="1" applyAlignment="1">
      <alignment horizontal="left"/>
    </xf>
    <xf numFmtId="0" fontId="26" fillId="0" borderId="8" xfId="10" applyFont="1" applyFill="1" applyBorder="1" applyAlignment="1">
      <alignment horizontal="left"/>
    </xf>
    <xf numFmtId="0" fontId="26" fillId="0" borderId="18" xfId="10" applyFont="1" applyFill="1" applyBorder="1" applyAlignment="1">
      <alignment horizontal="left"/>
    </xf>
    <xf numFmtId="1" fontId="18" fillId="0" borderId="3" xfId="3" applyNumberFormat="1" applyFont="1" applyFill="1" applyBorder="1" applyAlignment="1">
      <alignment horizontal="left" vertical="top" wrapText="1"/>
    </xf>
    <xf numFmtId="1" fontId="98" fillId="0" borderId="112" xfId="3" applyNumberFormat="1" applyFont="1" applyFill="1" applyBorder="1" applyAlignment="1">
      <alignment horizontal="left" vertical="top" wrapText="1"/>
    </xf>
    <xf numFmtId="0" fontId="98" fillId="0" borderId="112" xfId="17" applyFont="1" applyFill="1" applyBorder="1" applyAlignment="1">
      <alignment horizontal="left" vertical="center" wrapText="1"/>
    </xf>
    <xf numFmtId="0" fontId="19" fillId="0" borderId="4" xfId="10" applyFont="1" applyFill="1" applyBorder="1" applyAlignment="1">
      <alignment horizontal="left"/>
    </xf>
    <xf numFmtId="0" fontId="19" fillId="0" borderId="8" xfId="10" applyFont="1" applyFill="1" applyBorder="1" applyAlignment="1">
      <alignment horizontal="left"/>
    </xf>
    <xf numFmtId="0" fontId="19" fillId="0" borderId="18" xfId="10" applyFont="1" applyFill="1" applyBorder="1" applyAlignment="1">
      <alignment horizontal="left"/>
    </xf>
    <xf numFmtId="0" fontId="18" fillId="0" borderId="0" xfId="10" applyFont="1" applyBorder="1" applyAlignment="1">
      <alignment horizontal="left" vertical="top" wrapText="1"/>
    </xf>
    <xf numFmtId="0" fontId="19" fillId="0" borderId="0" xfId="0" applyFont="1" applyBorder="1" applyAlignment="1">
      <alignment horizontal="left" vertical="top" wrapText="1"/>
    </xf>
    <xf numFmtId="0" fontId="19" fillId="0" borderId="2" xfId="0" applyFont="1" applyBorder="1" applyAlignment="1">
      <alignment horizontal="left" vertical="top" wrapText="1"/>
    </xf>
    <xf numFmtId="0" fontId="19" fillId="0" borderId="3" xfId="10" applyFont="1" applyFill="1" applyBorder="1" applyAlignment="1">
      <alignment horizontal="left" vertical="top" wrapText="1"/>
    </xf>
    <xf numFmtId="0" fontId="19" fillId="0" borderId="3" xfId="10" applyFont="1" applyBorder="1" applyAlignment="1">
      <alignment horizontal="left" vertical="top" wrapText="1"/>
    </xf>
    <xf numFmtId="0" fontId="18" fillId="0" borderId="103" xfId="17" applyFont="1" applyFill="1" applyBorder="1" applyAlignment="1">
      <alignment horizontal="left" vertical="top"/>
    </xf>
    <xf numFmtId="1" fontId="98" fillId="0" borderId="103" xfId="3" applyNumberFormat="1" applyFont="1" applyFill="1" applyBorder="1" applyAlignment="1">
      <alignment horizontal="left" vertical="top" wrapText="1"/>
    </xf>
    <xf numFmtId="166" fontId="18" fillId="0" borderId="9" xfId="17" applyNumberFormat="1" applyFont="1" applyFill="1" applyBorder="1" applyAlignment="1">
      <alignment horizontal="left"/>
    </xf>
    <xf numFmtId="166" fontId="18" fillId="0" borderId="10" xfId="17" applyNumberFormat="1" applyFont="1" applyFill="1" applyBorder="1" applyAlignment="1">
      <alignment horizontal="left"/>
    </xf>
    <xf numFmtId="0" fontId="22" fillId="0" borderId="0" xfId="10" applyFont="1" applyFill="1" applyBorder="1" applyAlignment="1">
      <alignment horizontal="center" vertical="center" wrapText="1"/>
    </xf>
    <xf numFmtId="0" fontId="4" fillId="0" borderId="0" xfId="0" applyFont="1" applyBorder="1" applyAlignment="1">
      <alignment horizontal="center" vertical="center" wrapText="1"/>
    </xf>
    <xf numFmtId="0" fontId="4" fillId="0" borderId="2" xfId="0" applyFont="1" applyBorder="1" applyAlignment="1">
      <alignment horizontal="center" vertical="center" wrapText="1"/>
    </xf>
    <xf numFmtId="0" fontId="19" fillId="0" borderId="3" xfId="0" applyFont="1" applyBorder="1" applyAlignment="1">
      <alignment horizontal="left" vertical="top" wrapText="1"/>
    </xf>
    <xf numFmtId="166" fontId="18" fillId="0" borderId="22" xfId="17" applyNumberFormat="1" applyFont="1" applyFill="1" applyBorder="1" applyAlignment="1">
      <alignment horizontal="center"/>
    </xf>
    <xf numFmtId="1" fontId="18" fillId="0" borderId="1" xfId="3" applyNumberFormat="1" applyFont="1" applyFill="1" applyBorder="1" applyAlignment="1">
      <alignment horizontal="left" vertical="top" wrapText="1"/>
    </xf>
    <xf numFmtId="1" fontId="18" fillId="0" borderId="2" xfId="3" applyNumberFormat="1" applyFont="1" applyFill="1" applyBorder="1" applyAlignment="1">
      <alignment horizontal="left" vertical="top" wrapText="1"/>
    </xf>
    <xf numFmtId="1" fontId="98" fillId="0" borderId="3" xfId="3" applyNumberFormat="1" applyFont="1" applyFill="1" applyBorder="1" applyAlignment="1">
      <alignment horizontal="left" vertical="top" wrapText="1"/>
    </xf>
    <xf numFmtId="0" fontId="98" fillId="0" borderId="103" xfId="17" applyFont="1" applyFill="1" applyBorder="1" applyAlignment="1">
      <alignment horizontal="left" vertical="top" wrapText="1"/>
    </xf>
    <xf numFmtId="1" fontId="18" fillId="0" borderId="6" xfId="3" applyNumberFormat="1" applyFont="1" applyFill="1" applyBorder="1" applyAlignment="1">
      <alignment horizontal="left" vertical="top" wrapText="1"/>
    </xf>
    <xf numFmtId="0" fontId="18" fillId="0" borderId="5" xfId="10" applyFont="1" applyFill="1" applyBorder="1" applyAlignment="1">
      <alignment horizontal="left" textRotation="90" wrapText="1"/>
    </xf>
    <xf numFmtId="0" fontId="26" fillId="0" borderId="5" xfId="10" applyFont="1" applyFill="1" applyBorder="1" applyAlignment="1">
      <alignment horizontal="left"/>
    </xf>
    <xf numFmtId="0" fontId="26" fillId="0" borderId="10" xfId="10" applyFont="1" applyFill="1" applyBorder="1" applyAlignment="1">
      <alignment horizontal="left"/>
    </xf>
    <xf numFmtId="0" fontId="26" fillId="0" borderId="45" xfId="10" applyFont="1" applyFill="1" applyBorder="1" applyAlignment="1">
      <alignment horizontal="left"/>
    </xf>
    <xf numFmtId="0" fontId="22" fillId="2" borderId="9" xfId="17" applyFont="1" applyFill="1" applyBorder="1" applyAlignment="1">
      <alignment horizontal="center" vertical="center" textRotation="90" wrapText="1"/>
    </xf>
    <xf numFmtId="0" fontId="22" fillId="2" borderId="1" xfId="17" applyFont="1" applyFill="1" applyBorder="1" applyAlignment="1">
      <alignment horizontal="center" vertical="center" textRotation="90" wrapText="1"/>
    </xf>
    <xf numFmtId="0" fontId="22" fillId="0" borderId="20" xfId="17" applyFont="1" applyFill="1" applyBorder="1" applyAlignment="1">
      <alignment horizontal="center" textRotation="90"/>
    </xf>
    <xf numFmtId="0" fontId="18" fillId="0" borderId="20" xfId="17" applyFont="1" applyFill="1" applyBorder="1" applyAlignment="1">
      <alignment horizontal="center" textRotation="90"/>
    </xf>
    <xf numFmtId="0" fontId="18" fillId="0" borderId="80" xfId="17" applyFont="1" applyFill="1" applyBorder="1" applyAlignment="1">
      <alignment horizontal="center" textRotation="90"/>
    </xf>
    <xf numFmtId="0" fontId="18" fillId="0" borderId="23" xfId="17" applyFont="1" applyFill="1" applyBorder="1" applyAlignment="1">
      <alignment horizontal="center"/>
    </xf>
    <xf numFmtId="0" fontId="18" fillId="0" borderId="12" xfId="17" applyFont="1" applyFill="1" applyBorder="1" applyAlignment="1">
      <alignment horizontal="center"/>
    </xf>
    <xf numFmtId="1" fontId="22" fillId="0" borderId="3" xfId="3" applyNumberFormat="1" applyFont="1" applyFill="1" applyBorder="1" applyAlignment="1">
      <alignment horizontal="center" wrapText="1"/>
    </xf>
    <xf numFmtId="1" fontId="22" fillId="0" borderId="51" xfId="3" applyNumberFormat="1" applyFont="1" applyFill="1" applyBorder="1" applyAlignment="1">
      <alignment horizontal="center" wrapText="1"/>
    </xf>
    <xf numFmtId="0" fontId="79" fillId="0" borderId="3" xfId="10" applyFont="1" applyBorder="1" applyAlignment="1">
      <alignment horizontal="left" vertical="top" wrapText="1"/>
    </xf>
    <xf numFmtId="0" fontId="22" fillId="0" borderId="2" xfId="10" applyFont="1" applyFill="1" applyBorder="1" applyAlignment="1">
      <alignment horizontal="center" vertical="center" wrapText="1"/>
    </xf>
    <xf numFmtId="0" fontId="22" fillId="0" borderId="24" xfId="10" applyFont="1" applyFill="1" applyBorder="1" applyAlignment="1">
      <alignment horizontal="center" vertical="center" wrapText="1"/>
    </xf>
    <xf numFmtId="0" fontId="22" fillId="0" borderId="12" xfId="10" applyFont="1" applyFill="1" applyBorder="1" applyAlignment="1">
      <alignment horizontal="center" vertical="center" wrapText="1"/>
    </xf>
    <xf numFmtId="0" fontId="97" fillId="0" borderId="8" xfId="17" applyFont="1" applyFill="1" applyBorder="1" applyAlignment="1">
      <alignment horizontal="center" vertical="top" wrapText="1"/>
    </xf>
    <xf numFmtId="0" fontId="97" fillId="0" borderId="51" xfId="17" applyFont="1" applyFill="1" applyBorder="1" applyAlignment="1">
      <alignment horizontal="center" vertical="top" wrapText="1"/>
    </xf>
    <xf numFmtId="0" fontId="98" fillId="0" borderId="3" xfId="17" applyFont="1" applyFill="1" applyBorder="1" applyAlignment="1">
      <alignment horizontal="left" wrapText="1"/>
    </xf>
    <xf numFmtId="0" fontId="98" fillId="0" borderId="3" xfId="10" applyFont="1" applyFill="1" applyBorder="1" applyAlignment="1">
      <alignment horizontal="left" vertical="top" wrapText="1"/>
    </xf>
    <xf numFmtId="0" fontId="98" fillId="0" borderId="1" xfId="10" applyFont="1" applyFill="1" applyBorder="1" applyAlignment="1">
      <alignment horizontal="left" vertical="top" wrapText="1"/>
    </xf>
    <xf numFmtId="0" fontId="98" fillId="0" borderId="2" xfId="10" applyFont="1" applyFill="1" applyBorder="1" applyAlignment="1">
      <alignment horizontal="left" vertical="top" wrapText="1"/>
    </xf>
    <xf numFmtId="0" fontId="22" fillId="0" borderId="8" xfId="17" applyFont="1" applyFill="1" applyBorder="1" applyAlignment="1">
      <alignment horizontal="center" vertical="top" wrapText="1"/>
    </xf>
    <xf numFmtId="0" fontId="22" fillId="0" borderId="51" xfId="17" applyFont="1" applyFill="1" applyBorder="1" applyAlignment="1">
      <alignment horizontal="center" vertical="top" wrapText="1"/>
    </xf>
    <xf numFmtId="0" fontId="67" fillId="0" borderId="1" xfId="17" applyFont="1" applyFill="1" applyBorder="1" applyAlignment="1">
      <alignment horizontal="left" vertical="top" wrapText="1"/>
    </xf>
    <xf numFmtId="0" fontId="67" fillId="0" borderId="0" xfId="17" applyFont="1" applyFill="1" applyBorder="1" applyAlignment="1">
      <alignment horizontal="left" vertical="top" wrapText="1"/>
    </xf>
    <xf numFmtId="0" fontId="67" fillId="0" borderId="2" xfId="17" applyFont="1" applyFill="1" applyBorder="1" applyAlignment="1">
      <alignment horizontal="left" vertical="top" wrapText="1"/>
    </xf>
    <xf numFmtId="0" fontId="61" fillId="0" borderId="1" xfId="10" applyFont="1" applyFill="1" applyBorder="1" applyAlignment="1">
      <alignment horizontal="left" vertical="top" wrapText="1"/>
    </xf>
    <xf numFmtId="0" fontId="59" fillId="0" borderId="0" xfId="10" applyFont="1" applyBorder="1" applyAlignment="1">
      <alignment horizontal="left" vertical="top" wrapText="1"/>
    </xf>
    <xf numFmtId="0" fontId="59" fillId="0" borderId="2" xfId="10" applyFont="1" applyBorder="1" applyAlignment="1">
      <alignment horizontal="left" vertical="top" wrapText="1"/>
    </xf>
    <xf numFmtId="0" fontId="59" fillId="0" borderId="1" xfId="10" applyFont="1" applyBorder="1" applyAlignment="1">
      <alignment horizontal="left" vertical="top" wrapText="1"/>
    </xf>
    <xf numFmtId="0" fontId="59" fillId="0" borderId="1" xfId="0" applyFont="1" applyBorder="1" applyAlignment="1">
      <alignment wrapText="1"/>
    </xf>
    <xf numFmtId="0" fontId="59" fillId="0" borderId="0" xfId="0" applyFont="1" applyBorder="1" applyAlignment="1">
      <alignment wrapText="1"/>
    </xf>
    <xf numFmtId="0" fontId="59" fillId="0" borderId="2" xfId="0" applyFont="1" applyBorder="1" applyAlignment="1">
      <alignment wrapText="1"/>
    </xf>
    <xf numFmtId="0" fontId="98" fillId="0" borderId="112" xfId="17" applyFont="1" applyFill="1" applyBorder="1" applyAlignment="1">
      <alignment horizontal="left" vertical="top" wrapText="1"/>
    </xf>
    <xf numFmtId="0" fontId="98" fillId="0" borderId="1" xfId="0" applyFont="1" applyBorder="1" applyAlignment="1">
      <alignment horizontal="left" vertical="top" wrapText="1"/>
    </xf>
    <xf numFmtId="166" fontId="61" fillId="0" borderId="9" xfId="17" applyNumberFormat="1" applyFont="1" applyFill="1" applyBorder="1" applyAlignment="1">
      <alignment horizontal="left"/>
    </xf>
    <xf numFmtId="0" fontId="59" fillId="0" borderId="22" xfId="10" applyFont="1" applyBorder="1" applyAlignment="1"/>
    <xf numFmtId="166" fontId="61" fillId="0" borderId="22" xfId="17" applyNumberFormat="1" applyFont="1" applyFill="1" applyBorder="1" applyAlignment="1">
      <alignment horizontal="left"/>
    </xf>
    <xf numFmtId="0" fontId="18" fillId="0" borderId="1" xfId="17" applyFont="1" applyFill="1" applyBorder="1" applyAlignment="1">
      <alignment horizontal="left"/>
    </xf>
    <xf numFmtId="0" fontId="18" fillId="0" borderId="2" xfId="17" applyFont="1" applyFill="1" applyBorder="1" applyAlignment="1">
      <alignment horizontal="left"/>
    </xf>
    <xf numFmtId="0" fontId="61" fillId="0" borderId="0" xfId="17" applyFont="1" applyFill="1" applyBorder="1" applyAlignment="1">
      <alignment horizontal="left" wrapText="1"/>
    </xf>
    <xf numFmtId="0" fontId="61" fillId="0" borderId="2" xfId="17" applyFont="1" applyFill="1" applyBorder="1" applyAlignment="1">
      <alignment horizontal="left" wrapText="1"/>
    </xf>
    <xf numFmtId="0" fontId="61" fillId="0" borderId="1" xfId="10" applyFont="1" applyFill="1" applyBorder="1" applyAlignment="1">
      <alignment vertical="top" wrapText="1"/>
    </xf>
    <xf numFmtId="0" fontId="61" fillId="0" borderId="0" xfId="10" applyFont="1" applyFill="1" applyBorder="1" applyAlignment="1">
      <alignment vertical="top" wrapText="1"/>
    </xf>
    <xf numFmtId="0" fontId="61" fillId="0" borderId="2" xfId="10" applyFont="1" applyFill="1" applyBorder="1" applyAlignment="1">
      <alignment vertical="top" wrapText="1"/>
    </xf>
    <xf numFmtId="0" fontId="22" fillId="2" borderId="52" xfId="17" applyFont="1" applyFill="1" applyBorder="1" applyAlignment="1">
      <alignment horizontal="center" vertical="center" textRotation="90" wrapText="1"/>
    </xf>
    <xf numFmtId="0" fontId="82" fillId="0" borderId="0" xfId="17" applyFont="1" applyFill="1" applyBorder="1" applyAlignment="1">
      <alignment horizontal="left" wrapText="1"/>
    </xf>
    <xf numFmtId="0" fontId="82" fillId="0" borderId="2" xfId="17" applyFont="1" applyFill="1" applyBorder="1" applyAlignment="1">
      <alignment horizontal="left" wrapText="1"/>
    </xf>
    <xf numFmtId="0" fontId="84" fillId="0" borderId="52" xfId="10" applyFont="1" applyBorder="1" applyAlignment="1">
      <alignment horizontal="center" wrapText="1"/>
    </xf>
    <xf numFmtId="0" fontId="84" fillId="0" borderId="53" xfId="10" applyFont="1" applyBorder="1" applyAlignment="1">
      <alignment horizontal="center" wrapText="1"/>
    </xf>
    <xf numFmtId="0" fontId="22" fillId="0" borderId="1" xfId="17" applyFont="1" applyFill="1" applyBorder="1" applyAlignment="1">
      <alignment horizontal="left" vertical="top" wrapText="1"/>
    </xf>
    <xf numFmtId="0" fontId="22" fillId="0" borderId="0" xfId="17" applyFont="1" applyFill="1" applyBorder="1" applyAlignment="1">
      <alignment horizontal="left" vertical="top" wrapText="1"/>
    </xf>
    <xf numFmtId="0" fontId="79" fillId="0" borderId="3" xfId="17" applyFont="1" applyFill="1" applyBorder="1" applyAlignment="1">
      <alignment horizontal="left" vertical="center" wrapText="1"/>
    </xf>
    <xf numFmtId="0" fontId="79" fillId="0" borderId="3" xfId="10" applyFont="1" applyBorder="1" applyAlignment="1">
      <alignment horizontal="left" wrapText="1"/>
    </xf>
    <xf numFmtId="0" fontId="59" fillId="0" borderId="22" xfId="10" applyFont="1" applyFill="1" applyBorder="1" applyAlignment="1"/>
    <xf numFmtId="0" fontId="22" fillId="0" borderId="48" xfId="17" applyFont="1" applyFill="1" applyBorder="1" applyAlignment="1">
      <alignment horizontal="left" vertical="top" wrapText="1"/>
    </xf>
    <xf numFmtId="0" fontId="22" fillId="0" borderId="2" xfId="17" applyFont="1" applyFill="1" applyBorder="1" applyAlignment="1">
      <alignment horizontal="left" vertical="top" wrapText="1"/>
    </xf>
    <xf numFmtId="0" fontId="18" fillId="0" borderId="3" xfId="17" applyFont="1" applyFill="1" applyBorder="1" applyAlignment="1">
      <alignment vertical="top" wrapText="1"/>
    </xf>
    <xf numFmtId="0" fontId="19" fillId="0" borderId="3" xfId="10" applyFont="1" applyBorder="1" applyAlignment="1">
      <alignment wrapText="1"/>
    </xf>
    <xf numFmtId="0" fontId="18" fillId="0" borderId="2" xfId="10" applyFont="1" applyBorder="1" applyAlignment="1">
      <alignment horizontal="left" vertical="top" wrapText="1"/>
    </xf>
    <xf numFmtId="0" fontId="19" fillId="0" borderId="3" xfId="0" applyFont="1" applyBorder="1" applyAlignment="1">
      <alignment vertical="top" wrapText="1"/>
    </xf>
    <xf numFmtId="0" fontId="58" fillId="0" borderId="3" xfId="17" applyFont="1" applyFill="1" applyBorder="1" applyAlignment="1">
      <alignment horizontal="left" vertical="top" wrapText="1"/>
    </xf>
    <xf numFmtId="0" fontId="22" fillId="0" borderId="22" xfId="17" applyFont="1" applyFill="1" applyBorder="1" applyAlignment="1">
      <alignment horizontal="center" wrapText="1"/>
    </xf>
    <xf numFmtId="0" fontId="19" fillId="0" borderId="22" xfId="10" applyFont="1" applyBorder="1" applyAlignment="1">
      <alignment wrapText="1"/>
    </xf>
    <xf numFmtId="0" fontId="19" fillId="0" borderId="10" xfId="10" applyFont="1" applyBorder="1" applyAlignment="1">
      <alignment wrapText="1"/>
    </xf>
    <xf numFmtId="0" fontId="19" fillId="0" borderId="54" xfId="10" applyFont="1" applyBorder="1" applyAlignment="1">
      <alignment wrapText="1"/>
    </xf>
    <xf numFmtId="0" fontId="19" fillId="0" borderId="53" xfId="10" applyFont="1" applyBorder="1" applyAlignment="1">
      <alignment wrapText="1"/>
    </xf>
    <xf numFmtId="0" fontId="22" fillId="0" borderId="9" xfId="17" applyFont="1" applyFill="1" applyBorder="1" applyAlignment="1">
      <alignment horizontal="center" wrapText="1"/>
    </xf>
    <xf numFmtId="0" fontId="19" fillId="0" borderId="52" xfId="10" applyFont="1" applyBorder="1" applyAlignment="1">
      <alignment wrapText="1"/>
    </xf>
    <xf numFmtId="0" fontId="22" fillId="0" borderId="10" xfId="17" applyFont="1" applyFill="1" applyBorder="1" applyAlignment="1">
      <alignment horizontal="center" wrapText="1"/>
    </xf>
    <xf numFmtId="0" fontId="22" fillId="0" borderId="52" xfId="17" applyFont="1" applyFill="1" applyBorder="1" applyAlignment="1">
      <alignment horizontal="center" wrapText="1"/>
    </xf>
    <xf numFmtId="0" fontId="22" fillId="0" borderId="53" xfId="17" applyFont="1" applyFill="1" applyBorder="1" applyAlignment="1">
      <alignment horizontal="center" wrapText="1"/>
    </xf>
    <xf numFmtId="0" fontId="67" fillId="0" borderId="0" xfId="17" applyFont="1" applyFill="1" applyBorder="1" applyAlignment="1">
      <alignment horizontal="left" wrapText="1"/>
    </xf>
    <xf numFmtId="0" fontId="67" fillId="0" borderId="2" xfId="17" applyFont="1" applyFill="1" applyBorder="1" applyAlignment="1">
      <alignment horizontal="left" wrapText="1"/>
    </xf>
    <xf numFmtId="0" fontId="19" fillId="0" borderId="22" xfId="10" applyFont="1" applyBorder="1" applyAlignment="1"/>
    <xf numFmtId="166" fontId="18" fillId="0" borderId="22" xfId="17" applyNumberFormat="1" applyFont="1" applyFill="1" applyBorder="1" applyAlignment="1">
      <alignment horizontal="left"/>
    </xf>
    <xf numFmtId="0" fontId="18" fillId="0" borderId="1" xfId="10" applyFont="1" applyFill="1" applyBorder="1" applyAlignment="1">
      <alignment vertical="top" wrapText="1"/>
    </xf>
    <xf numFmtId="0" fontId="18" fillId="0" borderId="0" xfId="10" applyFont="1" applyFill="1" applyBorder="1" applyAlignment="1">
      <alignment vertical="top" wrapText="1"/>
    </xf>
    <xf numFmtId="0" fontId="18" fillId="0" borderId="2" xfId="10" applyFont="1" applyFill="1" applyBorder="1" applyAlignment="1">
      <alignment vertical="top" wrapText="1"/>
    </xf>
    <xf numFmtId="0" fontId="18" fillId="0" borderId="1" xfId="10" applyFont="1" applyFill="1" applyBorder="1" applyAlignment="1">
      <alignment horizontal="left" vertical="top" wrapText="1"/>
    </xf>
    <xf numFmtId="0" fontId="19" fillId="0" borderId="0" xfId="10" applyFont="1" applyBorder="1" applyAlignment="1">
      <alignment horizontal="left" vertical="top" wrapText="1"/>
    </xf>
    <xf numFmtId="0" fontId="19" fillId="0" borderId="2" xfId="10" applyFont="1" applyBorder="1" applyAlignment="1">
      <alignment horizontal="left" vertical="top" wrapText="1"/>
    </xf>
    <xf numFmtId="0" fontId="19" fillId="0" borderId="1" xfId="10" applyFont="1" applyBorder="1" applyAlignment="1">
      <alignment horizontal="left" vertical="top" wrapText="1"/>
    </xf>
    <xf numFmtId="0" fontId="19" fillId="0" borderId="1" xfId="0" applyFont="1" applyBorder="1" applyAlignment="1">
      <alignment wrapText="1"/>
    </xf>
    <xf numFmtId="0" fontId="19" fillId="0" borderId="0" xfId="0" applyFont="1" applyBorder="1" applyAlignment="1">
      <alignment wrapText="1"/>
    </xf>
    <xf numFmtId="0" fontId="19" fillId="0" borderId="2" xfId="0" applyFont="1" applyBorder="1" applyAlignment="1">
      <alignment wrapText="1"/>
    </xf>
    <xf numFmtId="0" fontId="22" fillId="0" borderId="0" xfId="17" applyFont="1" applyFill="1" applyBorder="1" applyAlignment="1">
      <alignment horizontal="left" vertical="center" wrapText="1"/>
    </xf>
    <xf numFmtId="0" fontId="22" fillId="0" borderId="2" xfId="17" applyFont="1" applyFill="1" applyBorder="1" applyAlignment="1">
      <alignment horizontal="left" vertical="center" wrapText="1"/>
    </xf>
    <xf numFmtId="0" fontId="22" fillId="0" borderId="54" xfId="17" applyFont="1" applyFill="1" applyBorder="1" applyAlignment="1">
      <alignment horizontal="center" wrapText="1"/>
    </xf>
    <xf numFmtId="0" fontId="5" fillId="0" borderId="3" xfId="0" applyFont="1" applyBorder="1" applyAlignment="1">
      <alignment horizontal="center" vertical="top" wrapText="1"/>
    </xf>
    <xf numFmtId="0" fontId="5" fillId="0" borderId="51" xfId="0" applyFont="1" applyBorder="1" applyAlignment="1">
      <alignment horizontal="center" vertical="top" wrapText="1"/>
    </xf>
    <xf numFmtId="0" fontId="9" fillId="0" borderId="52" xfId="10" applyFont="1" applyBorder="1" applyAlignment="1">
      <alignment horizontal="center" wrapText="1"/>
    </xf>
    <xf numFmtId="0" fontId="9" fillId="0" borderId="53" xfId="10" applyFont="1" applyBorder="1" applyAlignment="1">
      <alignment horizontal="center" wrapText="1"/>
    </xf>
    <xf numFmtId="0" fontId="18" fillId="0" borderId="8" xfId="0" applyFont="1" applyBorder="1" applyAlignment="1">
      <alignment horizontal="left" vertical="top" wrapText="1"/>
    </xf>
    <xf numFmtId="0" fontId="18" fillId="0" borderId="22" xfId="0" applyFont="1" applyBorder="1" applyAlignment="1">
      <alignment horizontal="left" vertical="top" wrapText="1"/>
    </xf>
    <xf numFmtId="0" fontId="18" fillId="0" borderId="0" xfId="0" applyFont="1" applyBorder="1" applyAlignment="1">
      <alignment horizontal="left" vertical="top" wrapText="1"/>
    </xf>
    <xf numFmtId="0" fontId="18" fillId="0" borderId="22" xfId="0" applyFont="1" applyFill="1" applyBorder="1" applyAlignment="1">
      <alignment horizontal="left" vertical="top" wrapText="1"/>
    </xf>
    <xf numFmtId="0" fontId="18" fillId="0" borderId="9" xfId="0" applyFont="1" applyFill="1" applyBorder="1" applyAlignment="1">
      <alignment horizontal="left" vertical="top" wrapText="1"/>
    </xf>
    <xf numFmtId="0" fontId="18" fillId="0" borderId="38" xfId="17" applyFont="1" applyFill="1" applyBorder="1" applyAlignment="1">
      <alignment horizontal="center" vertical="top" wrapText="1"/>
    </xf>
    <xf numFmtId="0" fontId="18" fillId="0" borderId="20" xfId="17" applyFont="1" applyFill="1" applyBorder="1" applyAlignment="1">
      <alignment horizontal="center" vertical="top" wrapText="1"/>
    </xf>
    <xf numFmtId="0" fontId="7" fillId="0" borderId="37" xfId="0" applyFont="1" applyBorder="1" applyAlignment="1">
      <alignment horizontal="center"/>
    </xf>
    <xf numFmtId="0" fontId="7" fillId="0" borderId="5" xfId="0" applyFont="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7" fillId="0" borderId="39" xfId="0" applyFont="1" applyBorder="1" applyAlignment="1">
      <alignment horizontal="center"/>
    </xf>
    <xf numFmtId="0" fontId="7" fillId="0" borderId="11" xfId="0" applyFont="1" applyBorder="1" applyAlignment="1">
      <alignment horizontal="center"/>
    </xf>
    <xf numFmtId="0" fontId="18" fillId="0" borderId="37" xfId="0" applyFont="1" applyFill="1" applyBorder="1" applyAlignment="1">
      <alignment horizontal="center" vertical="top" wrapText="1"/>
    </xf>
    <xf numFmtId="0" fontId="18" fillId="0" borderId="5" xfId="0" applyFont="1" applyFill="1" applyBorder="1" applyAlignment="1">
      <alignment horizontal="center" vertical="top" wrapText="1"/>
    </xf>
    <xf numFmtId="0" fontId="18" fillId="0" borderId="39" xfId="0" applyFont="1" applyFill="1" applyBorder="1" applyAlignment="1">
      <alignment horizontal="center" vertical="top" wrapText="1"/>
    </xf>
    <xf numFmtId="0" fontId="18" fillId="0" borderId="11" xfId="0" applyFont="1" applyFill="1" applyBorder="1" applyAlignment="1">
      <alignment horizontal="center" vertical="top" wrapText="1"/>
    </xf>
    <xf numFmtId="0" fontId="22" fillId="0" borderId="18" xfId="0" applyFont="1" applyFill="1" applyBorder="1" applyAlignment="1">
      <alignment horizontal="center" vertical="top" wrapText="1"/>
    </xf>
    <xf numFmtId="166" fontId="22" fillId="2" borderId="37" xfId="17" applyNumberFormat="1" applyFont="1" applyFill="1" applyBorder="1" applyAlignment="1">
      <alignment horizontal="left" vertical="top"/>
    </xf>
    <xf numFmtId="166" fontId="22" fillId="2" borderId="36" xfId="17" applyNumberFormat="1" applyFont="1" applyFill="1" applyBorder="1" applyAlignment="1">
      <alignment horizontal="left" vertical="top"/>
    </xf>
    <xf numFmtId="0" fontId="18" fillId="0" borderId="9" xfId="0" applyFont="1" applyBorder="1" applyAlignment="1">
      <alignment horizontal="left" vertical="top" wrapText="1"/>
    </xf>
    <xf numFmtId="0" fontId="18" fillId="0" borderId="10" xfId="0" applyFont="1" applyBorder="1" applyAlignment="1">
      <alignment horizontal="left" vertical="top" wrapText="1"/>
    </xf>
    <xf numFmtId="0" fontId="22" fillId="0" borderId="44" xfId="0" applyFont="1" applyFill="1" applyBorder="1" applyAlignment="1">
      <alignment horizontal="center" vertical="top" wrapText="1"/>
    </xf>
    <xf numFmtId="0" fontId="22" fillId="0" borderId="97" xfId="0" applyFont="1" applyFill="1" applyBorder="1" applyAlignment="1">
      <alignment horizontal="center" vertical="top" wrapText="1"/>
    </xf>
    <xf numFmtId="0" fontId="18" fillId="0" borderId="9" xfId="0" applyFont="1" applyBorder="1" applyAlignment="1">
      <alignment horizontal="center" vertical="top" wrapText="1"/>
    </xf>
    <xf numFmtId="0" fontId="18" fillId="0" borderId="10" xfId="0" applyFont="1" applyBorder="1" applyAlignment="1">
      <alignment horizontal="center" vertical="top" wrapText="1"/>
    </xf>
    <xf numFmtId="0" fontId="18" fillId="0" borderId="1" xfId="0" applyFont="1" applyBorder="1" applyAlignment="1">
      <alignment horizontal="center" vertical="top" wrapText="1"/>
    </xf>
    <xf numFmtId="0" fontId="18" fillId="0" borderId="2" xfId="0" applyFont="1" applyBorder="1" applyAlignment="1">
      <alignment horizontal="center" vertical="top" wrapText="1"/>
    </xf>
    <xf numFmtId="0" fontId="18" fillId="0" borderId="23" xfId="0" applyFont="1" applyBorder="1" applyAlignment="1">
      <alignment horizontal="center" vertical="top" wrapText="1"/>
    </xf>
    <xf numFmtId="0" fontId="18" fillId="0" borderId="12" xfId="0" applyFont="1" applyBorder="1" applyAlignment="1">
      <alignment horizontal="center" vertical="top" wrapText="1"/>
    </xf>
    <xf numFmtId="0" fontId="61" fillId="0" borderId="8" xfId="0" applyFont="1" applyBorder="1" applyAlignment="1">
      <alignment horizontal="left" vertical="top" wrapText="1"/>
    </xf>
    <xf numFmtId="0" fontId="61" fillId="0" borderId="3" xfId="0" applyFont="1" applyBorder="1" applyAlignment="1">
      <alignment horizontal="left" vertical="top" wrapText="1"/>
    </xf>
    <xf numFmtId="0" fontId="18" fillId="0" borderId="8" xfId="0" applyFont="1" applyBorder="1" applyAlignment="1">
      <alignment horizontal="center" vertical="top" wrapText="1"/>
    </xf>
    <xf numFmtId="0" fontId="18" fillId="0" borderId="3" xfId="0" applyFont="1" applyBorder="1" applyAlignment="1">
      <alignment horizontal="center" vertical="top" wrapText="1"/>
    </xf>
    <xf numFmtId="0" fontId="7" fillId="0" borderId="23" xfId="0" applyFont="1" applyBorder="1" applyAlignment="1">
      <alignment horizontal="center"/>
    </xf>
    <xf numFmtId="0" fontId="7" fillId="0" borderId="12" xfId="0" applyFont="1" applyBorder="1" applyAlignment="1">
      <alignment horizontal="center"/>
    </xf>
    <xf numFmtId="0" fontId="7" fillId="0" borderId="44" xfId="0" applyFont="1" applyBorder="1" applyAlignment="1">
      <alignment horizontal="center"/>
    </xf>
    <xf numFmtId="0" fontId="7" fillId="0" borderId="45" xfId="0" applyFont="1" applyBorder="1" applyAlignment="1">
      <alignment horizontal="center"/>
    </xf>
    <xf numFmtId="0" fontId="18" fillId="0" borderId="3" xfId="0" applyFont="1" applyBorder="1" applyAlignment="1">
      <alignment horizontal="left" vertical="center" wrapText="1"/>
    </xf>
    <xf numFmtId="0" fontId="22" fillId="0" borderId="45" xfId="0" applyFont="1" applyFill="1" applyBorder="1" applyAlignment="1">
      <alignment horizontal="center" vertical="top" wrapText="1"/>
    </xf>
    <xf numFmtId="0" fontId="22" fillId="0" borderId="23" xfId="0" applyFont="1" applyBorder="1" applyAlignment="1">
      <alignment horizontal="center" vertical="top" wrapText="1"/>
    </xf>
    <xf numFmtId="0" fontId="22" fillId="0" borderId="24" xfId="0" applyFont="1" applyBorder="1" applyAlignment="1">
      <alignment horizontal="center" vertical="top" wrapText="1"/>
    </xf>
    <xf numFmtId="0" fontId="22" fillId="0" borderId="12" xfId="0" applyFont="1" applyBorder="1" applyAlignment="1">
      <alignment horizontal="center" vertical="top" wrapText="1"/>
    </xf>
    <xf numFmtId="0" fontId="61" fillId="0" borderId="2" xfId="0" applyFont="1" applyBorder="1" applyAlignment="1">
      <alignment horizontal="left" vertical="top" wrapText="1"/>
    </xf>
    <xf numFmtId="0" fontId="47" fillId="0" borderId="8" xfId="0" applyFont="1" applyBorder="1" applyAlignment="1">
      <alignment vertical="top" wrapText="1"/>
    </xf>
    <xf numFmtId="0" fontId="47" fillId="0" borderId="3" xfId="0" applyFont="1" applyBorder="1" applyAlignment="1">
      <alignment vertical="top" wrapText="1"/>
    </xf>
    <xf numFmtId="0" fontId="98" fillId="0" borderId="8" xfId="0" applyFont="1" applyBorder="1" applyAlignment="1">
      <alignment horizontal="left" vertical="top" wrapText="1"/>
    </xf>
    <xf numFmtId="0" fontId="79" fillId="0" borderId="8" xfId="0" applyFont="1" applyFill="1" applyBorder="1" applyAlignment="1">
      <alignment horizontal="left" vertical="top" wrapText="1"/>
    </xf>
    <xf numFmtId="0" fontId="79" fillId="0" borderId="3" xfId="0" applyFont="1" applyFill="1" applyBorder="1" applyAlignment="1">
      <alignment horizontal="left" vertical="top" wrapText="1"/>
    </xf>
    <xf numFmtId="0" fontId="79" fillId="0" borderId="1" xfId="0" applyFont="1" applyBorder="1" applyAlignment="1">
      <alignment horizontal="left" vertical="top" wrapText="1"/>
    </xf>
    <xf numFmtId="0" fontId="18" fillId="0" borderId="8" xfId="0" applyFont="1" applyFill="1" applyBorder="1" applyAlignment="1">
      <alignment horizontal="left" vertical="top" wrapText="1"/>
    </xf>
    <xf numFmtId="0" fontId="47" fillId="0" borderId="8" xfId="0" applyFont="1" applyBorder="1" applyAlignment="1">
      <alignment horizontal="left" vertical="top" wrapText="1"/>
    </xf>
    <xf numFmtId="0" fontId="47" fillId="0" borderId="3" xfId="0" applyFont="1" applyBorder="1" applyAlignment="1">
      <alignment horizontal="left" vertical="top" wrapText="1"/>
    </xf>
    <xf numFmtId="0" fontId="18" fillId="0" borderId="24" xfId="0" applyFont="1" applyBorder="1" applyAlignment="1">
      <alignment horizontal="left" vertical="top" wrapText="1"/>
    </xf>
    <xf numFmtId="0" fontId="18" fillId="0" borderId="12" xfId="0" applyFont="1" applyBorder="1" applyAlignment="1">
      <alignment horizontal="left" vertical="top" wrapText="1"/>
    </xf>
    <xf numFmtId="0" fontId="18" fillId="0" borderId="6" xfId="0" applyFont="1" applyFill="1" applyBorder="1" applyAlignment="1">
      <alignment horizontal="left" vertical="center" wrapText="1"/>
    </xf>
    <xf numFmtId="0" fontId="18" fillId="0" borderId="20" xfId="0" applyFont="1" applyFill="1" applyBorder="1" applyAlignment="1">
      <alignment horizontal="left" vertical="center" wrapText="1"/>
    </xf>
    <xf numFmtId="0" fontId="18" fillId="0" borderId="21"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18" fillId="0" borderId="12" xfId="0" applyFont="1" applyFill="1" applyBorder="1" applyAlignment="1">
      <alignment horizontal="left" vertical="center" wrapText="1"/>
    </xf>
    <xf numFmtId="166" fontId="18" fillId="2" borderId="37" xfId="17" applyNumberFormat="1" applyFont="1" applyFill="1" applyBorder="1" applyAlignment="1">
      <alignment horizontal="left" wrapText="1"/>
    </xf>
    <xf numFmtId="166" fontId="18" fillId="2" borderId="5" xfId="17" applyNumberFormat="1" applyFont="1" applyFill="1" applyBorder="1" applyAlignment="1">
      <alignment horizontal="left" wrapText="1"/>
    </xf>
    <xf numFmtId="0" fontId="18" fillId="0" borderId="9" xfId="10" applyFont="1" applyFill="1" applyBorder="1" applyAlignment="1">
      <alignment horizontal="left" vertical="top" wrapText="1"/>
    </xf>
    <xf numFmtId="0" fontId="18" fillId="0" borderId="10" xfId="10" applyFont="1" applyFill="1" applyBorder="1" applyAlignment="1">
      <alignment horizontal="left" vertical="top" wrapText="1"/>
    </xf>
    <xf numFmtId="0" fontId="18" fillId="0" borderId="2" xfId="10" applyFont="1" applyFill="1" applyBorder="1" applyAlignment="1">
      <alignment horizontal="left" vertical="top" wrapText="1"/>
    </xf>
    <xf numFmtId="0" fontId="18" fillId="0" borderId="8" xfId="10" applyFont="1" applyFill="1" applyBorder="1" applyAlignment="1">
      <alignment horizontal="left" vertical="top" wrapText="1"/>
    </xf>
    <xf numFmtId="0" fontId="18" fillId="0" borderId="3" xfId="10" applyFont="1" applyFill="1" applyBorder="1" applyAlignment="1">
      <alignment horizontal="left" vertical="top" wrapText="1"/>
    </xf>
    <xf numFmtId="0" fontId="18" fillId="0" borderId="16" xfId="10" applyFont="1" applyFill="1" applyBorder="1" applyAlignment="1">
      <alignment horizontal="center" vertical="top" textRotation="255"/>
    </xf>
    <xf numFmtId="0" fontId="18" fillId="0" borderId="43" xfId="10" applyFont="1" applyFill="1" applyBorder="1" applyAlignment="1">
      <alignment horizontal="center" vertical="top" textRotation="255"/>
    </xf>
    <xf numFmtId="0" fontId="18" fillId="0" borderId="14" xfId="10" applyFont="1" applyFill="1" applyBorder="1" applyAlignment="1">
      <alignment horizontal="center" vertical="top" textRotation="255"/>
    </xf>
    <xf numFmtId="0" fontId="8" fillId="0" borderId="37" xfId="10" applyFont="1" applyFill="1" applyBorder="1" applyAlignment="1">
      <alignment horizontal="center"/>
    </xf>
    <xf numFmtId="0" fontId="8" fillId="0" borderId="36" xfId="10" applyFont="1" applyFill="1" applyBorder="1" applyAlignment="1">
      <alignment horizontal="center"/>
    </xf>
    <xf numFmtId="0" fontId="8" fillId="0" borderId="5" xfId="10" applyFont="1" applyFill="1" applyBorder="1" applyAlignment="1">
      <alignment horizontal="center"/>
    </xf>
    <xf numFmtId="0" fontId="10" fillId="0" borderId="2" xfId="10" applyFont="1" applyFill="1" applyBorder="1" applyAlignment="1">
      <alignment horizontal="left" vertical="top" wrapText="1"/>
    </xf>
    <xf numFmtId="0" fontId="10" fillId="0" borderId="1" xfId="10" applyFont="1" applyFill="1" applyBorder="1" applyAlignment="1">
      <alignment horizontal="left" vertical="top" wrapText="1"/>
    </xf>
    <xf numFmtId="0" fontId="18" fillId="0" borderId="22" xfId="10" applyFont="1" applyFill="1" applyBorder="1" applyAlignment="1">
      <alignment horizontal="left" vertical="top" wrapText="1"/>
    </xf>
    <xf numFmtId="0" fontId="18" fillId="0" borderId="0" xfId="10" applyFont="1" applyFill="1" applyBorder="1" applyAlignment="1">
      <alignment horizontal="left" vertical="top" wrapText="1"/>
    </xf>
    <xf numFmtId="0" fontId="18" fillId="0" borderId="6" xfId="10" applyFont="1" applyFill="1" applyBorder="1" applyAlignment="1">
      <alignment horizontal="left" vertical="top" wrapText="1"/>
    </xf>
    <xf numFmtId="0" fontId="27" fillId="0" borderId="0" xfId="11" applyFont="1" applyBorder="1" applyAlignment="1">
      <alignment horizontal="left" vertical="center" wrapText="1"/>
    </xf>
    <xf numFmtId="0" fontId="61" fillId="0" borderId="0" xfId="11" applyFont="1" applyBorder="1" applyAlignment="1">
      <alignment horizontal="left" vertical="center" wrapText="1"/>
    </xf>
    <xf numFmtId="0" fontId="61" fillId="0" borderId="22" xfId="11" applyFont="1" applyBorder="1" applyAlignment="1">
      <alignment horizontal="left" vertical="top" wrapText="1"/>
    </xf>
    <xf numFmtId="0" fontId="61" fillId="0" borderId="0" xfId="11" applyFont="1" applyBorder="1" applyAlignment="1">
      <alignment horizontal="left" vertical="top" wrapText="1"/>
    </xf>
    <xf numFmtId="0" fontId="61" fillId="0" borderId="10" xfId="11" applyFont="1" applyBorder="1" applyAlignment="1">
      <alignment horizontal="left" vertical="top" wrapText="1"/>
    </xf>
    <xf numFmtId="0" fontId="61" fillId="0" borderId="2" xfId="11" applyFont="1" applyBorder="1" applyAlignment="1">
      <alignment horizontal="left" vertical="top" wrapText="1"/>
    </xf>
    <xf numFmtId="0" fontId="18" fillId="0" borderId="22" xfId="11" applyFont="1" applyBorder="1" applyAlignment="1">
      <alignment horizontal="left" vertical="top" wrapText="1"/>
    </xf>
    <xf numFmtId="0" fontId="18" fillId="0" borderId="0" xfId="11" applyFont="1" applyBorder="1" applyAlignment="1">
      <alignment horizontal="left" vertical="top" wrapText="1"/>
    </xf>
    <xf numFmtId="0" fontId="18" fillId="0" borderId="48" xfId="0" applyFont="1" applyBorder="1" applyAlignment="1">
      <alignment horizontal="left" vertical="top" wrapText="1"/>
    </xf>
    <xf numFmtId="0" fontId="18" fillId="0" borderId="35" xfId="0" applyFont="1" applyBorder="1" applyAlignment="1">
      <alignment horizontal="left" vertical="top" wrapText="1"/>
    </xf>
    <xf numFmtId="0" fontId="18" fillId="0" borderId="65" xfId="0" applyFont="1" applyBorder="1" applyAlignment="1">
      <alignment horizontal="left" vertical="top" wrapText="1"/>
    </xf>
    <xf numFmtId="0" fontId="22" fillId="0" borderId="16" xfId="0" applyFont="1" applyBorder="1" applyAlignment="1">
      <alignment horizontal="center" textRotation="90" wrapText="1"/>
    </xf>
    <xf numFmtId="0" fontId="22" fillId="0" borderId="43" xfId="0" applyFont="1" applyBorder="1" applyAlignment="1">
      <alignment horizontal="center" textRotation="90" wrapText="1"/>
    </xf>
    <xf numFmtId="0" fontId="22" fillId="0" borderId="67" xfId="0" applyFont="1" applyBorder="1" applyAlignment="1">
      <alignment horizontal="center" textRotation="90" wrapText="1"/>
    </xf>
    <xf numFmtId="0" fontId="22" fillId="0" borderId="48" xfId="0" applyFont="1" applyBorder="1" applyAlignment="1">
      <alignment horizontal="left" vertical="top" wrapText="1"/>
    </xf>
    <xf numFmtId="0" fontId="22" fillId="0" borderId="2" xfId="0" applyFont="1" applyBorder="1" applyAlignment="1">
      <alignment horizontal="left" vertical="top" wrapText="1"/>
    </xf>
    <xf numFmtId="0" fontId="22" fillId="0" borderId="98" xfId="0" applyFont="1" applyBorder="1" applyAlignment="1">
      <alignment horizontal="left" vertical="top" wrapText="1"/>
    </xf>
    <xf numFmtId="0" fontId="22" fillId="0" borderId="53" xfId="0" applyFont="1" applyBorder="1" applyAlignment="1">
      <alignment horizontal="left" vertical="top" wrapText="1"/>
    </xf>
    <xf numFmtId="0" fontId="22" fillId="0" borderId="3" xfId="0" applyFont="1" applyBorder="1" applyAlignment="1">
      <alignment horizontal="center" vertical="center" wrapText="1"/>
    </xf>
    <xf numFmtId="0" fontId="18" fillId="0" borderId="51" xfId="0" applyFont="1" applyBorder="1" applyAlignment="1">
      <alignment horizontal="center" vertical="center" wrapText="1"/>
    </xf>
    <xf numFmtId="0" fontId="22" fillId="0" borderId="2" xfId="0" applyFont="1" applyBorder="1" applyAlignment="1">
      <alignment horizontal="center" vertical="center" wrapText="1"/>
    </xf>
    <xf numFmtId="0" fontId="18" fillId="0" borderId="53" xfId="0" applyFont="1" applyBorder="1" applyAlignment="1">
      <alignment horizontal="center" vertical="center" wrapText="1"/>
    </xf>
    <xf numFmtId="0" fontId="22" fillId="0" borderId="16" xfId="10" applyFont="1" applyFill="1" applyBorder="1" applyAlignment="1">
      <alignment horizontal="center" vertical="center" wrapText="1"/>
    </xf>
    <xf numFmtId="0" fontId="22" fillId="0" borderId="43" xfId="10" applyFont="1" applyFill="1" applyBorder="1" applyAlignment="1">
      <alignment horizontal="center" vertical="center" wrapText="1"/>
    </xf>
    <xf numFmtId="0" fontId="5" fillId="0" borderId="43" xfId="0" applyFont="1" applyBorder="1" applyAlignment="1">
      <alignment horizontal="center" vertical="center" wrapText="1"/>
    </xf>
    <xf numFmtId="0" fontId="5" fillId="0" borderId="67" xfId="0" applyFont="1" applyBorder="1" applyAlignment="1">
      <alignment horizontal="center" vertical="center" wrapText="1"/>
    </xf>
    <xf numFmtId="0" fontId="22" fillId="0" borderId="38" xfId="10" applyFont="1" applyFill="1" applyBorder="1" applyAlignment="1">
      <alignment horizontal="center" vertical="center" wrapText="1"/>
    </xf>
    <xf numFmtId="0" fontId="22" fillId="0" borderId="20" xfId="1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80" xfId="0" applyFont="1" applyBorder="1" applyAlignment="1">
      <alignment horizontal="center" vertical="center" wrapText="1"/>
    </xf>
    <xf numFmtId="0" fontId="5" fillId="0" borderId="1" xfId="0" applyFont="1" applyBorder="1" applyAlignment="1">
      <alignment horizontal="left" vertical="top" wrapText="1"/>
    </xf>
    <xf numFmtId="0" fontId="5" fillId="0" borderId="23" xfId="0" applyFont="1" applyBorder="1" applyAlignment="1">
      <alignment horizontal="left" vertical="top" wrapText="1"/>
    </xf>
    <xf numFmtId="0" fontId="5" fillId="0" borderId="3" xfId="0" applyFont="1" applyBorder="1" applyAlignment="1">
      <alignment horizontal="left" vertical="top" wrapText="1"/>
    </xf>
    <xf numFmtId="0" fontId="5" fillId="0" borderId="6" xfId="0" applyFont="1" applyBorder="1" applyAlignment="1">
      <alignment horizontal="left" vertical="top" wrapText="1"/>
    </xf>
    <xf numFmtId="0" fontId="22" fillId="0" borderId="8" xfId="0" applyFont="1" applyBorder="1" applyAlignment="1">
      <alignment horizontal="center" vertical="center" wrapText="1"/>
    </xf>
    <xf numFmtId="0" fontId="5" fillId="0" borderId="51" xfId="0" applyFont="1" applyBorder="1" applyAlignment="1">
      <alignment horizontal="center" vertical="center" wrapText="1"/>
    </xf>
    <xf numFmtId="0" fontId="22" fillId="0" borderId="67" xfId="10" applyFont="1" applyFill="1" applyBorder="1" applyAlignment="1">
      <alignment horizontal="center" vertical="center" wrapText="1"/>
    </xf>
    <xf numFmtId="0" fontId="22" fillId="0" borderId="10" xfId="10" applyFont="1" applyFill="1" applyBorder="1" applyAlignment="1">
      <alignment horizontal="center" vertical="center" wrapText="1"/>
    </xf>
    <xf numFmtId="0" fontId="22" fillId="0" borderId="53" xfId="10" applyFont="1" applyFill="1" applyBorder="1" applyAlignment="1">
      <alignment horizontal="center" vertical="center" wrapText="1"/>
    </xf>
    <xf numFmtId="0" fontId="5" fillId="0" borderId="3" xfId="0" applyFont="1" applyBorder="1" applyAlignment="1">
      <alignment horizontal="center" vertical="center" wrapText="1"/>
    </xf>
    <xf numFmtId="0" fontId="18" fillId="0" borderId="3" xfId="10" applyFont="1" applyFill="1" applyBorder="1" applyAlignment="1">
      <alignment horizontal="left" wrapText="1"/>
    </xf>
    <xf numFmtId="0" fontId="18" fillId="0" borderId="6" xfId="10" applyFont="1" applyFill="1" applyBorder="1" applyAlignment="1">
      <alignment horizontal="left" wrapText="1"/>
    </xf>
    <xf numFmtId="0" fontId="0" fillId="0" borderId="43" xfId="0" applyBorder="1" applyAlignment="1">
      <alignment horizontal="center" vertical="center"/>
    </xf>
    <xf numFmtId="0" fontId="0" fillId="0" borderId="67" xfId="0" applyBorder="1" applyAlignment="1">
      <alignment horizontal="center" vertical="center"/>
    </xf>
    <xf numFmtId="0" fontId="5" fillId="0" borderId="2" xfId="0" applyFont="1" applyBorder="1" applyAlignment="1">
      <alignment horizontal="center" vertical="center"/>
    </xf>
    <xf numFmtId="0" fontId="5" fillId="0" borderId="53" xfId="0" applyFont="1" applyBorder="1" applyAlignment="1">
      <alignment horizontal="center" vertical="center"/>
    </xf>
    <xf numFmtId="0" fontId="67" fillId="0" borderId="8" xfId="0" applyFont="1" applyBorder="1" applyAlignment="1">
      <alignment horizontal="center" vertical="center"/>
    </xf>
    <xf numFmtId="0" fontId="67" fillId="0" borderId="3" xfId="0" applyFont="1" applyBorder="1" applyAlignment="1">
      <alignment horizontal="center" vertical="center"/>
    </xf>
    <xf numFmtId="0" fontId="67" fillId="0" borderId="51" xfId="0" applyFont="1" applyBorder="1" applyAlignment="1">
      <alignment horizontal="center" vertical="center"/>
    </xf>
    <xf numFmtId="0" fontId="22" fillId="0" borderId="0" xfId="17" applyFont="1" applyBorder="1" applyAlignment="1">
      <alignment horizontal="left" vertical="top" wrapText="1"/>
    </xf>
    <xf numFmtId="0" fontId="18" fillId="0" borderId="0" xfId="17" applyFont="1" applyBorder="1" applyAlignment="1">
      <alignment horizontal="left" vertical="top" wrapText="1"/>
    </xf>
    <xf numFmtId="0" fontId="18" fillId="0" borderId="0" xfId="0" applyFont="1" applyBorder="1" applyAlignment="1">
      <alignment horizontal="left" wrapText="1"/>
    </xf>
    <xf numFmtId="166" fontId="22" fillId="0" borderId="0" xfId="17" applyNumberFormat="1" applyFont="1" applyBorder="1" applyAlignment="1">
      <alignment horizontal="center" vertical="center" wrapText="1"/>
    </xf>
    <xf numFmtId="0" fontId="18" fillId="0" borderId="0" xfId="17" applyFont="1" applyBorder="1" applyAlignment="1">
      <alignment horizontal="left" vertical="center"/>
    </xf>
    <xf numFmtId="0" fontId="18" fillId="0" borderId="0" xfId="17" applyFont="1" applyBorder="1" applyAlignment="1">
      <alignment horizontal="center" vertical="center" wrapText="1"/>
    </xf>
    <xf numFmtId="0" fontId="18" fillId="0" borderId="0" xfId="0" applyFont="1" applyBorder="1" applyAlignment="1">
      <alignment horizontal="left" vertical="center" wrapText="1"/>
    </xf>
    <xf numFmtId="0" fontId="22" fillId="7" borderId="8" xfId="17" applyFont="1" applyFill="1" applyBorder="1" applyAlignment="1">
      <alignment horizontal="center" vertical="center" textRotation="90" wrapText="1"/>
    </xf>
    <xf numFmtId="0" fontId="22" fillId="7" borderId="3" xfId="0" applyFont="1" applyFill="1" applyBorder="1" applyAlignment="1">
      <alignment horizontal="center" vertical="center" textRotation="90" wrapText="1"/>
    </xf>
    <xf numFmtId="0" fontId="22" fillId="7" borderId="51" xfId="0" applyFont="1" applyFill="1" applyBorder="1" applyAlignment="1">
      <alignment horizontal="center" vertical="center" textRotation="90" wrapText="1"/>
    </xf>
    <xf numFmtId="166" fontId="18" fillId="7" borderId="9" xfId="17" applyNumberFormat="1" applyFont="1" applyFill="1" applyBorder="1" applyAlignment="1">
      <alignment horizontal="left" vertical="top"/>
    </xf>
    <xf numFmtId="0" fontId="18" fillId="7" borderId="10" xfId="0" applyFont="1" applyFill="1" applyBorder="1" applyAlignment="1">
      <alignment horizontal="left" vertical="top"/>
    </xf>
    <xf numFmtId="0" fontId="22" fillId="7" borderId="3" xfId="17" applyFont="1" applyFill="1" applyBorder="1" applyAlignment="1">
      <alignment horizontal="center" vertical="center" textRotation="90" wrapText="1"/>
    </xf>
    <xf numFmtId="0" fontId="22" fillId="7" borderId="51" xfId="17" applyFont="1" applyFill="1" applyBorder="1" applyAlignment="1">
      <alignment horizontal="center" vertical="center" textRotation="90" wrapText="1"/>
    </xf>
    <xf numFmtId="0" fontId="18" fillId="7" borderId="1" xfId="0" applyFont="1" applyFill="1" applyBorder="1" applyAlignment="1">
      <alignment horizontal="left" vertical="top" wrapText="1"/>
    </xf>
    <xf numFmtId="0" fontId="18" fillId="7" borderId="2" xfId="0" applyFont="1" applyFill="1" applyBorder="1" applyAlignment="1">
      <alignment horizontal="left" vertical="top" wrapText="1"/>
    </xf>
    <xf numFmtId="0" fontId="5" fillId="0" borderId="2" xfId="0" applyFont="1" applyBorder="1" applyAlignment="1">
      <alignment horizontal="left" vertical="top" wrapText="1"/>
    </xf>
    <xf numFmtId="0" fontId="18" fillId="7" borderId="0" xfId="0" applyFont="1" applyFill="1" applyBorder="1" applyAlignment="1">
      <alignment horizontal="left" vertical="top" wrapText="1"/>
    </xf>
    <xf numFmtId="0" fontId="18" fillId="7" borderId="3" xfId="0" applyFont="1" applyFill="1" applyBorder="1" applyAlignment="1">
      <alignment horizontal="left" vertical="top" wrapText="1"/>
    </xf>
    <xf numFmtId="0" fontId="18" fillId="7" borderId="3" xfId="17" applyFont="1" applyFill="1" applyBorder="1" applyAlignment="1">
      <alignment horizontal="left" vertical="top" wrapText="1"/>
    </xf>
    <xf numFmtId="166" fontId="18" fillId="7" borderId="9" xfId="17" applyNumberFormat="1" applyFont="1" applyFill="1" applyBorder="1" applyAlignment="1">
      <alignment horizontal="left"/>
    </xf>
    <xf numFmtId="166" fontId="18" fillId="7" borderId="22" xfId="17" applyNumberFormat="1" applyFont="1" applyFill="1" applyBorder="1" applyAlignment="1">
      <alignment horizontal="left"/>
    </xf>
    <xf numFmtId="166" fontId="18" fillId="7" borderId="10" xfId="17" applyNumberFormat="1" applyFont="1" applyFill="1" applyBorder="1" applyAlignment="1">
      <alignment horizontal="left"/>
    </xf>
    <xf numFmtId="0" fontId="22" fillId="7" borderId="8" xfId="0" applyFont="1" applyFill="1" applyBorder="1" applyAlignment="1">
      <alignment horizontal="center" vertical="center"/>
    </xf>
    <xf numFmtId="0" fontId="22" fillId="7" borderId="51" xfId="0" applyFont="1" applyFill="1" applyBorder="1" applyAlignment="1">
      <alignment horizontal="center" vertical="center"/>
    </xf>
    <xf numFmtId="0" fontId="10" fillId="7" borderId="8" xfId="0" applyFont="1" applyFill="1" applyBorder="1" applyAlignment="1">
      <alignment horizontal="center" textRotation="90"/>
    </xf>
    <xf numFmtId="0" fontId="10" fillId="7" borderId="3" xfId="0" applyFont="1" applyFill="1" applyBorder="1" applyAlignment="1">
      <alignment horizontal="center" textRotation="90"/>
    </xf>
    <xf numFmtId="0" fontId="10" fillId="7" borderId="6" xfId="0" applyFont="1" applyFill="1" applyBorder="1" applyAlignment="1">
      <alignment horizontal="center" textRotation="90"/>
    </xf>
    <xf numFmtId="0" fontId="80" fillId="7" borderId="8" xfId="0" applyFont="1" applyFill="1" applyBorder="1" applyAlignment="1">
      <alignment horizontal="center" textRotation="90" wrapText="1"/>
    </xf>
    <xf numFmtId="0" fontId="80" fillId="7" borderId="3" xfId="0" applyFont="1" applyFill="1" applyBorder="1" applyAlignment="1">
      <alignment horizontal="center" textRotation="90" wrapText="1"/>
    </xf>
    <xf numFmtId="0" fontId="80" fillId="7" borderId="6" xfId="0" applyFont="1" applyFill="1" applyBorder="1" applyAlignment="1">
      <alignment horizontal="center" textRotation="90" wrapText="1"/>
    </xf>
    <xf numFmtId="0" fontId="10" fillId="7" borderId="8" xfId="0" applyFont="1" applyFill="1" applyBorder="1" applyAlignment="1">
      <alignment horizontal="center" textRotation="90" wrapText="1"/>
    </xf>
    <xf numFmtId="0" fontId="10" fillId="7" borderId="3" xfId="0" applyFont="1" applyFill="1" applyBorder="1" applyAlignment="1">
      <alignment horizontal="center" textRotation="90" wrapText="1"/>
    </xf>
    <xf numFmtId="0" fontId="10" fillId="7" borderId="6" xfId="0" applyFont="1" applyFill="1" applyBorder="1" applyAlignment="1">
      <alignment horizontal="center" textRotation="90" wrapText="1"/>
    </xf>
    <xf numFmtId="0" fontId="18" fillId="0" borderId="3" xfId="0" applyFont="1" applyFill="1" applyBorder="1" applyAlignment="1">
      <alignment horizontal="center" vertical="top" wrapText="1"/>
    </xf>
    <xf numFmtId="0" fontId="18" fillId="0" borderId="37" xfId="0" applyFont="1" applyFill="1" applyBorder="1" applyAlignment="1">
      <alignment horizontal="center"/>
    </xf>
    <xf numFmtId="0" fontId="18" fillId="0" borderId="36" xfId="0" applyFont="1" applyFill="1" applyBorder="1" applyAlignment="1">
      <alignment horizontal="center"/>
    </xf>
    <xf numFmtId="0" fontId="18" fillId="0" borderId="5" xfId="0" applyFont="1" applyFill="1" applyBorder="1" applyAlignment="1">
      <alignment horizontal="center"/>
    </xf>
    <xf numFmtId="0" fontId="12" fillId="0" borderId="3" xfId="0" applyFont="1" applyBorder="1" applyAlignment="1">
      <alignment horizontal="left" vertical="top" wrapText="1"/>
    </xf>
    <xf numFmtId="0" fontId="18" fillId="7" borderId="6" xfId="0" applyFont="1" applyFill="1" applyBorder="1" applyAlignment="1">
      <alignment horizontal="left" vertical="top" wrapText="1"/>
    </xf>
    <xf numFmtId="0" fontId="100" fillId="7" borderId="8" xfId="0" applyFont="1" applyFill="1" applyBorder="1" applyAlignment="1">
      <alignment horizontal="center" textRotation="90" wrapText="1"/>
    </xf>
    <xf numFmtId="0" fontId="100" fillId="7" borderId="3" xfId="0" applyFont="1" applyFill="1" applyBorder="1" applyAlignment="1">
      <alignment horizontal="center" textRotation="90" wrapText="1"/>
    </xf>
    <xf numFmtId="0" fontId="100" fillId="7" borderId="6" xfId="0" applyFont="1" applyFill="1" applyBorder="1" applyAlignment="1">
      <alignment horizontal="center" textRotation="90" wrapText="1"/>
    </xf>
    <xf numFmtId="0" fontId="22" fillId="0" borderId="8" xfId="0" applyFont="1" applyBorder="1" applyAlignment="1">
      <alignment horizontal="center" vertical="top" wrapText="1"/>
    </xf>
    <xf numFmtId="0" fontId="22" fillId="0" borderId="51" xfId="0" applyFont="1" applyBorder="1" applyAlignment="1">
      <alignment horizontal="center" vertical="top" wrapText="1"/>
    </xf>
    <xf numFmtId="0" fontId="22" fillId="7" borderId="8" xfId="0" applyFont="1" applyFill="1" applyBorder="1" applyAlignment="1">
      <alignment horizontal="center" vertical="center" wrapText="1"/>
    </xf>
    <xf numFmtId="0" fontId="22" fillId="7" borderId="51" xfId="0" applyFont="1" applyFill="1" applyBorder="1" applyAlignment="1">
      <alignment horizontal="center" vertical="center" wrapText="1"/>
    </xf>
    <xf numFmtId="0" fontId="22" fillId="7" borderId="9" xfId="0" applyFont="1" applyFill="1" applyBorder="1" applyAlignment="1">
      <alignment horizontal="center" vertical="center"/>
    </xf>
    <xf numFmtId="0" fontId="22" fillId="7" borderId="10" xfId="0" applyFont="1" applyFill="1" applyBorder="1" applyAlignment="1">
      <alignment horizontal="center" vertical="center"/>
    </xf>
    <xf numFmtId="0" fontId="22" fillId="7" borderId="52" xfId="0" applyFont="1" applyFill="1" applyBorder="1" applyAlignment="1">
      <alignment horizontal="center" vertical="center"/>
    </xf>
    <xf numFmtId="0" fontId="22" fillId="7" borderId="53" xfId="0" applyFont="1" applyFill="1" applyBorder="1" applyAlignment="1">
      <alignment horizontal="center" vertical="center"/>
    </xf>
    <xf numFmtId="0" fontId="22" fillId="0" borderId="51" xfId="0" applyFont="1" applyBorder="1" applyAlignment="1">
      <alignment horizontal="center" vertical="center" wrapText="1"/>
    </xf>
    <xf numFmtId="0" fontId="97" fillId="7" borderId="8" xfId="0" applyFont="1" applyFill="1" applyBorder="1" applyAlignment="1">
      <alignment horizontal="center" vertical="center"/>
    </xf>
    <xf numFmtId="0" fontId="97" fillId="7" borderId="51" xfId="0" applyFont="1" applyFill="1" applyBorder="1" applyAlignment="1">
      <alignment horizontal="center" vertical="center"/>
    </xf>
    <xf numFmtId="0" fontId="22" fillId="0" borderId="8" xfId="0" applyFont="1" applyFill="1" applyBorder="1" applyAlignment="1">
      <alignment horizontal="center" vertical="center"/>
    </xf>
    <xf numFmtId="0" fontId="22" fillId="0" borderId="51" xfId="0" applyFont="1" applyFill="1" applyBorder="1" applyAlignment="1">
      <alignment horizontal="center" vertical="center"/>
    </xf>
    <xf numFmtId="0" fontId="22" fillId="0" borderId="8" xfId="0" applyFont="1" applyFill="1" applyBorder="1" applyAlignment="1">
      <alignment horizontal="center" vertical="center" wrapText="1"/>
    </xf>
    <xf numFmtId="0" fontId="4" fillId="0" borderId="51" xfId="0" applyFont="1" applyFill="1" applyBorder="1" applyAlignment="1">
      <alignment horizontal="center" vertical="center" wrapText="1"/>
    </xf>
    <xf numFmtId="0" fontId="82" fillId="0" borderId="9" xfId="0" applyFont="1" applyFill="1" applyBorder="1" applyAlignment="1">
      <alignment horizontal="center" vertical="center" wrapText="1"/>
    </xf>
    <xf numFmtId="0" fontId="94" fillId="0" borderId="52" xfId="0" applyFont="1" applyFill="1" applyBorder="1" applyAlignment="1">
      <alignment horizontal="center" vertical="center" wrapText="1"/>
    </xf>
    <xf numFmtId="0" fontId="22" fillId="0" borderId="37" xfId="0" applyFont="1" applyFill="1" applyBorder="1" applyAlignment="1">
      <alignment horizontal="center"/>
    </xf>
    <xf numFmtId="0" fontId="22" fillId="0" borderId="36" xfId="0" applyFont="1" applyFill="1" applyBorder="1" applyAlignment="1">
      <alignment horizontal="center"/>
    </xf>
    <xf numFmtId="0" fontId="22" fillId="0" borderId="5" xfId="0" applyFont="1" applyFill="1" applyBorder="1" applyAlignment="1">
      <alignment horizontal="center"/>
    </xf>
    <xf numFmtId="0" fontId="18" fillId="7" borderId="1" xfId="0" applyFont="1" applyFill="1" applyBorder="1" applyAlignment="1">
      <alignment horizontal="center"/>
    </xf>
    <xf numFmtId="0" fontId="18" fillId="7" borderId="2" xfId="0" applyFont="1" applyFill="1" applyBorder="1" applyAlignment="1">
      <alignment horizontal="center"/>
    </xf>
    <xf numFmtId="0" fontId="18" fillId="7" borderId="37" xfId="0" applyFont="1" applyFill="1" applyBorder="1" applyAlignment="1">
      <alignment horizontal="center"/>
    </xf>
    <xf numFmtId="0" fontId="18" fillId="7" borderId="5" xfId="0" applyFont="1" applyFill="1" applyBorder="1" applyAlignment="1">
      <alignment horizontal="center"/>
    </xf>
    <xf numFmtId="0" fontId="19" fillId="7" borderId="37" xfId="0" applyFont="1" applyFill="1" applyBorder="1" applyAlignment="1">
      <alignment horizontal="center"/>
    </xf>
    <xf numFmtId="0" fontId="19" fillId="7" borderId="5" xfId="0" applyFont="1" applyFill="1" applyBorder="1" applyAlignment="1">
      <alignment horizontal="center"/>
    </xf>
    <xf numFmtId="1" fontId="6" fillId="7" borderId="0" xfId="3" applyNumberFormat="1" applyFont="1" applyFill="1" applyBorder="1" applyAlignment="1">
      <alignment horizontal="left" vertical="center"/>
    </xf>
    <xf numFmtId="0" fontId="18" fillId="7" borderId="1" xfId="0" applyFont="1" applyFill="1" applyBorder="1" applyAlignment="1">
      <alignment horizontal="left" vertical="center" wrapText="1"/>
    </xf>
    <xf numFmtId="0" fontId="18" fillId="7" borderId="2" xfId="0" applyFont="1" applyFill="1" applyBorder="1" applyAlignment="1">
      <alignment horizontal="left" vertical="center" wrapText="1"/>
    </xf>
    <xf numFmtId="0" fontId="18" fillId="7" borderId="2" xfId="0" applyFont="1" applyFill="1" applyBorder="1" applyAlignment="1">
      <alignment horizontal="left" wrapText="1"/>
    </xf>
    <xf numFmtId="0" fontId="82" fillId="7" borderId="8" xfId="0" applyFont="1" applyFill="1" applyBorder="1" applyAlignment="1">
      <alignment horizontal="center" vertical="center"/>
    </xf>
    <xf numFmtId="0" fontId="82" fillId="7" borderId="51" xfId="0" applyFont="1" applyFill="1" applyBorder="1" applyAlignment="1">
      <alignment horizontal="center" vertical="center"/>
    </xf>
    <xf numFmtId="0" fontId="82" fillId="7" borderId="8" xfId="0" applyFont="1" applyFill="1" applyBorder="1" applyAlignment="1">
      <alignment horizontal="center" vertical="center" wrapText="1"/>
    </xf>
    <xf numFmtId="0" fontId="82" fillId="7" borderId="51" xfId="0" applyFont="1" applyFill="1" applyBorder="1" applyAlignment="1">
      <alignment horizontal="center" vertical="center" wrapText="1"/>
    </xf>
    <xf numFmtId="0" fontId="31" fillId="7" borderId="1" xfId="0" applyFont="1" applyFill="1" applyBorder="1" applyAlignment="1">
      <alignment horizontal="left" vertical="top" wrapText="1"/>
    </xf>
    <xf numFmtId="0" fontId="31" fillId="7" borderId="2" xfId="0" applyFont="1" applyFill="1" applyBorder="1" applyAlignment="1">
      <alignment horizontal="left" vertical="top" wrapText="1"/>
    </xf>
    <xf numFmtId="0" fontId="79" fillId="7" borderId="108" xfId="0" applyFont="1" applyFill="1" applyBorder="1" applyAlignment="1">
      <alignment horizontal="center" textRotation="90" wrapText="1"/>
    </xf>
    <xf numFmtId="0" fontId="79" fillId="7" borderId="128" xfId="0" applyFont="1" applyFill="1" applyBorder="1" applyAlignment="1">
      <alignment horizontal="center" textRotation="90" wrapText="1"/>
    </xf>
    <xf numFmtId="0" fontId="79" fillId="7" borderId="3" xfId="0" applyFont="1" applyFill="1" applyBorder="1" applyAlignment="1">
      <alignment horizontal="center" textRotation="90" wrapText="1"/>
    </xf>
    <xf numFmtId="0" fontId="79" fillId="7" borderId="99" xfId="0" applyFont="1" applyFill="1" applyBorder="1" applyAlignment="1">
      <alignment horizontal="center" textRotation="90" wrapText="1"/>
    </xf>
    <xf numFmtId="0" fontId="79" fillId="7" borderId="127" xfId="0" applyFont="1" applyFill="1" applyBorder="1" applyAlignment="1">
      <alignment horizontal="center" textRotation="90" wrapText="1"/>
    </xf>
    <xf numFmtId="0" fontId="79" fillId="7" borderId="129" xfId="0" applyFont="1" applyFill="1" applyBorder="1" applyAlignment="1">
      <alignment horizontal="center" textRotation="90" wrapText="1"/>
    </xf>
    <xf numFmtId="0" fontId="79" fillId="7" borderId="123" xfId="0" applyFont="1" applyFill="1" applyBorder="1" applyAlignment="1">
      <alignment horizontal="center" vertical="top" wrapText="1"/>
    </xf>
    <xf numFmtId="0" fontId="79" fillId="7" borderId="22" xfId="0" applyFont="1" applyFill="1" applyBorder="1" applyAlignment="1">
      <alignment horizontal="center" vertical="top" wrapText="1"/>
    </xf>
    <xf numFmtId="0" fontId="79" fillId="7" borderId="124" xfId="0" applyFont="1" applyFill="1" applyBorder="1" applyAlignment="1">
      <alignment horizontal="center" vertical="top" wrapText="1"/>
    </xf>
    <xf numFmtId="0" fontId="79" fillId="7" borderId="103" xfId="0" applyFont="1" applyFill="1" applyBorder="1" applyAlignment="1">
      <alignment horizontal="center" vertical="top" wrapText="1"/>
    </xf>
    <xf numFmtId="0" fontId="79" fillId="7" borderId="0" xfId="0" applyFont="1" applyFill="1" applyBorder="1" applyAlignment="1">
      <alignment horizontal="center" vertical="top" wrapText="1"/>
    </xf>
    <xf numFmtId="0" fontId="79" fillId="7" borderId="104" xfId="0" applyFont="1" applyFill="1" applyBorder="1" applyAlignment="1">
      <alignment horizontal="center" vertical="top" wrapText="1"/>
    </xf>
    <xf numFmtId="0" fontId="97" fillId="0" borderId="8" xfId="0" applyFont="1" applyFill="1" applyBorder="1" applyAlignment="1">
      <alignment horizontal="center" vertical="center"/>
    </xf>
    <xf numFmtId="0" fontId="97" fillId="0" borderId="51" xfId="0" applyFont="1" applyFill="1" applyBorder="1" applyAlignment="1">
      <alignment horizontal="center" vertical="center"/>
    </xf>
    <xf numFmtId="0" fontId="79" fillId="0" borderId="6" xfId="0" applyFont="1" applyFill="1" applyBorder="1" applyAlignment="1">
      <alignment horizontal="left" vertical="top" wrapText="1"/>
    </xf>
    <xf numFmtId="0" fontId="79" fillId="0" borderId="1" xfId="10" applyFont="1" applyFill="1" applyBorder="1" applyAlignment="1">
      <alignment horizontal="left" vertical="top" wrapText="1"/>
    </xf>
    <xf numFmtId="0" fontId="22" fillId="7" borderId="52" xfId="0" applyFont="1" applyFill="1" applyBorder="1" applyAlignment="1">
      <alignment horizontal="left" vertical="top" wrapText="1"/>
    </xf>
    <xf numFmtId="0" fontId="22" fillId="7" borderId="53" xfId="0" applyFont="1" applyFill="1" applyBorder="1" applyAlignment="1">
      <alignment horizontal="left" vertical="top" wrapText="1"/>
    </xf>
    <xf numFmtId="0" fontId="98" fillId="0" borderId="101" xfId="17" applyFont="1" applyFill="1" applyBorder="1" applyAlignment="1">
      <alignment horizontal="left" vertical="top" wrapText="1"/>
    </xf>
    <xf numFmtId="0" fontId="98" fillId="0" borderId="102" xfId="17" applyFont="1" applyFill="1" applyBorder="1" applyAlignment="1">
      <alignment horizontal="left" vertical="top" wrapText="1"/>
    </xf>
    <xf numFmtId="0" fontId="98" fillId="0" borderId="0" xfId="17" applyFont="1" applyBorder="1" applyAlignment="1">
      <alignment horizontal="left" wrapText="1"/>
    </xf>
    <xf numFmtId="0" fontId="18" fillId="0" borderId="22" xfId="17" applyFont="1" applyBorder="1" applyAlignment="1">
      <alignment horizontal="left" wrapText="1"/>
    </xf>
    <xf numFmtId="0" fontId="18" fillId="0" borderId="10" xfId="17" applyFont="1" applyBorder="1" applyAlignment="1">
      <alignment horizontal="left" wrapText="1"/>
    </xf>
    <xf numFmtId="0" fontId="18" fillId="0" borderId="0" xfId="17" applyFont="1" applyBorder="1" applyAlignment="1">
      <alignment horizontal="left" wrapText="1"/>
    </xf>
    <xf numFmtId="0" fontId="18" fillId="0" borderId="2" xfId="17" applyFont="1" applyBorder="1" applyAlignment="1">
      <alignment horizontal="left" wrapText="1"/>
    </xf>
    <xf numFmtId="0" fontId="18" fillId="0" borderId="22" xfId="17" applyFont="1" applyFill="1" applyBorder="1" applyAlignment="1">
      <alignment horizontal="left" vertical="top" wrapText="1"/>
    </xf>
    <xf numFmtId="0" fontId="18" fillId="0" borderId="10" xfId="17" applyFont="1" applyFill="1" applyBorder="1" applyAlignment="1">
      <alignment horizontal="left" vertical="top" wrapText="1"/>
    </xf>
    <xf numFmtId="0" fontId="22" fillId="0" borderId="0" xfId="17" applyFont="1" applyFill="1" applyBorder="1" applyAlignment="1">
      <alignment horizontal="center"/>
    </xf>
    <xf numFmtId="166" fontId="22" fillId="0" borderId="103" xfId="17" applyNumberFormat="1" applyFont="1" applyFill="1" applyBorder="1" applyAlignment="1">
      <alignment horizontal="left" vertical="top" wrapText="1"/>
    </xf>
    <xf numFmtId="166" fontId="22" fillId="0" borderId="0" xfId="17" applyNumberFormat="1" applyFont="1" applyFill="1" applyBorder="1" applyAlignment="1">
      <alignment horizontal="left" vertical="top" wrapText="1"/>
    </xf>
    <xf numFmtId="166" fontId="22" fillId="0" borderId="105" xfId="17" applyNumberFormat="1" applyFont="1" applyFill="1" applyBorder="1" applyAlignment="1">
      <alignment horizontal="left" vertical="top" wrapText="1"/>
    </xf>
    <xf numFmtId="166" fontId="22" fillId="0" borderId="106" xfId="17" applyNumberFormat="1" applyFont="1" applyFill="1" applyBorder="1" applyAlignment="1">
      <alignment horizontal="left" vertical="top" wrapText="1"/>
    </xf>
    <xf numFmtId="0" fontId="18" fillId="0" borderId="101" xfId="17" applyFont="1" applyFill="1" applyBorder="1" applyAlignment="1">
      <alignment horizontal="left" vertical="top" wrapText="1"/>
    </xf>
    <xf numFmtId="0" fontId="18" fillId="0" borderId="0" xfId="17" applyFont="1" applyFill="1" applyBorder="1" applyAlignment="1">
      <alignment horizontal="right" vertical="top" wrapText="1"/>
    </xf>
    <xf numFmtId="0" fontId="18" fillId="0" borderId="2" xfId="17" applyFont="1" applyFill="1" applyBorder="1" applyAlignment="1">
      <alignment horizontal="right" vertical="top" wrapText="1"/>
    </xf>
    <xf numFmtId="0" fontId="31" fillId="0" borderId="0" xfId="17" applyFont="1" applyFill="1" applyBorder="1" applyAlignment="1">
      <alignment horizontal="left" vertical="top" wrapText="1"/>
    </xf>
    <xf numFmtId="0" fontId="98" fillId="0" borderId="22" xfId="17" applyFont="1" applyFill="1" applyBorder="1" applyAlignment="1">
      <alignment horizontal="left" vertical="top" wrapText="1"/>
    </xf>
    <xf numFmtId="0" fontId="98" fillId="0" borderId="10" xfId="17" applyFont="1" applyFill="1" applyBorder="1" applyAlignment="1">
      <alignment horizontal="left" vertical="top" wrapText="1"/>
    </xf>
    <xf numFmtId="0" fontId="18" fillId="0" borderId="22" xfId="17" applyFont="1" applyFill="1" applyBorder="1" applyAlignment="1">
      <alignment horizontal="left" vertical="top"/>
    </xf>
    <xf numFmtId="0" fontId="18" fillId="0" borderId="10" xfId="17" applyFont="1" applyFill="1" applyBorder="1" applyAlignment="1">
      <alignment horizontal="left" vertical="top"/>
    </xf>
    <xf numFmtId="0" fontId="18" fillId="0" borderId="22" xfId="17" applyFont="1" applyFill="1" applyBorder="1" applyAlignment="1">
      <alignment horizontal="left" wrapText="1"/>
    </xf>
    <xf numFmtId="0" fontId="18" fillId="0" borderId="10" xfId="17" applyFont="1" applyFill="1" applyBorder="1" applyAlignment="1">
      <alignment horizontal="left" wrapText="1"/>
    </xf>
    <xf numFmtId="0" fontId="18" fillId="0" borderId="22" xfId="17" applyFont="1" applyBorder="1" applyAlignment="1">
      <alignment horizontal="left" vertical="top"/>
    </xf>
    <xf numFmtId="0" fontId="18" fillId="0" borderId="10" xfId="17" applyFont="1" applyBorder="1" applyAlignment="1">
      <alignment horizontal="left" vertical="top"/>
    </xf>
    <xf numFmtId="0" fontId="18" fillId="0" borderId="22" xfId="17" applyFont="1" applyBorder="1" applyAlignment="1">
      <alignment horizontal="left" vertical="top" wrapText="1"/>
    </xf>
    <xf numFmtId="0" fontId="18" fillId="0" borderId="10" xfId="17" applyFont="1" applyBorder="1" applyAlignment="1">
      <alignment horizontal="left" vertical="top" wrapText="1"/>
    </xf>
    <xf numFmtId="0" fontId="18" fillId="0" borderId="2" xfId="17" applyFont="1" applyBorder="1" applyAlignment="1">
      <alignment horizontal="left" vertical="top" wrapText="1"/>
    </xf>
    <xf numFmtId="0" fontId="18" fillId="0" borderId="24" xfId="11" applyFont="1" applyBorder="1" applyAlignment="1">
      <alignment horizontal="left"/>
    </xf>
    <xf numFmtId="0" fontId="18" fillId="0" borderId="12" xfId="11" applyFont="1" applyBorder="1" applyAlignment="1">
      <alignment horizontal="left"/>
    </xf>
    <xf numFmtId="0" fontId="18" fillId="0" borderId="0" xfId="11" applyFont="1" applyBorder="1" applyAlignment="1">
      <alignment horizontal="left"/>
    </xf>
    <xf numFmtId="0" fontId="18" fillId="0" borderId="2" xfId="11" applyFont="1" applyBorder="1" applyAlignment="1">
      <alignment horizontal="left"/>
    </xf>
    <xf numFmtId="0" fontId="18" fillId="0" borderId="0" xfId="11" applyFont="1" applyBorder="1" applyAlignment="1">
      <alignment horizontal="left" wrapText="1"/>
    </xf>
    <xf numFmtId="0" fontId="18" fillId="0" borderId="2" xfId="11" applyFont="1" applyBorder="1" applyAlignment="1">
      <alignment horizontal="left" wrapText="1"/>
    </xf>
    <xf numFmtId="0" fontId="18" fillId="0" borderId="22" xfId="17" applyFont="1" applyFill="1" applyBorder="1" applyAlignment="1">
      <alignment horizontal="center" vertical="top" wrapText="1"/>
    </xf>
    <xf numFmtId="0" fontId="18" fillId="0" borderId="10" xfId="17" applyFont="1" applyFill="1" applyBorder="1" applyAlignment="1">
      <alignment horizontal="center" vertical="top" wrapText="1"/>
    </xf>
    <xf numFmtId="0" fontId="18" fillId="0" borderId="1" xfId="11" applyFont="1" applyBorder="1" applyAlignment="1">
      <alignment horizontal="left"/>
    </xf>
    <xf numFmtId="0" fontId="98" fillId="0" borderId="24" xfId="17" applyFont="1" applyFill="1" applyBorder="1" applyAlignment="1">
      <alignment horizontal="center"/>
    </xf>
    <xf numFmtId="0" fontId="18" fillId="0" borderId="0" xfId="17" applyFont="1" applyFill="1" applyBorder="1" applyAlignment="1">
      <alignment horizontal="left" vertical="top"/>
    </xf>
    <xf numFmtId="0" fontId="18" fillId="0" borderId="2" xfId="17" applyFont="1" applyFill="1" applyBorder="1" applyAlignment="1">
      <alignment horizontal="left" vertical="top"/>
    </xf>
    <xf numFmtId="0" fontId="18" fillId="0" borderId="24" xfId="17" applyFont="1" applyFill="1" applyBorder="1" applyAlignment="1">
      <alignment horizontal="left"/>
    </xf>
    <xf numFmtId="0" fontId="18" fillId="0" borderId="0" xfId="11" applyFont="1" applyFill="1" applyBorder="1" applyAlignment="1">
      <alignment horizontal="center" wrapText="1"/>
    </xf>
    <xf numFmtId="0" fontId="18" fillId="0" borderId="24" xfId="11" applyFont="1" applyFill="1" applyBorder="1" applyAlignment="1">
      <alignment horizontal="center" wrapText="1"/>
    </xf>
    <xf numFmtId="0" fontId="79" fillId="0" borderId="22" xfId="17" applyFont="1" applyBorder="1" applyAlignment="1">
      <alignment horizontal="left" wrapText="1"/>
    </xf>
    <xf numFmtId="0" fontId="79" fillId="0" borderId="10" xfId="17" applyFont="1" applyBorder="1" applyAlignment="1">
      <alignment horizontal="left" wrapText="1"/>
    </xf>
    <xf numFmtId="0" fontId="79" fillId="0" borderId="0" xfId="17" applyFont="1" applyBorder="1" applyAlignment="1">
      <alignment horizontal="left" wrapText="1"/>
    </xf>
    <xf numFmtId="0" fontId="79" fillId="0" borderId="2" xfId="17" applyFont="1" applyBorder="1" applyAlignment="1">
      <alignment horizontal="left" wrapText="1"/>
    </xf>
    <xf numFmtId="0" fontId="18" fillId="0" borderId="166" xfId="17" applyFont="1" applyBorder="1" applyAlignment="1">
      <alignment horizontal="left" vertical="top" wrapText="1"/>
    </xf>
    <xf numFmtId="0" fontId="18" fillId="0" borderId="167" xfId="17" applyFont="1" applyBorder="1" applyAlignment="1">
      <alignment horizontal="left" vertical="top" wrapText="1"/>
    </xf>
    <xf numFmtId="0" fontId="18" fillId="0" borderId="2" xfId="11" applyFont="1" applyBorder="1" applyAlignment="1">
      <alignment horizontal="left" vertical="top" wrapText="1"/>
    </xf>
    <xf numFmtId="0" fontId="18" fillId="0" borderId="0" xfId="17" applyFont="1" applyFill="1" applyBorder="1" applyAlignment="1">
      <alignment horizontal="center"/>
    </xf>
    <xf numFmtId="0" fontId="10" fillId="0" borderId="101" xfId="17" applyFont="1" applyFill="1" applyBorder="1" applyAlignment="1">
      <alignment horizontal="left" vertical="top" wrapText="1"/>
    </xf>
    <xf numFmtId="0" fontId="10" fillId="0" borderId="102" xfId="17" applyFont="1" applyFill="1" applyBorder="1" applyAlignment="1">
      <alignment horizontal="left" vertical="top" wrapText="1"/>
    </xf>
    <xf numFmtId="0" fontId="10" fillId="0" borderId="0" xfId="17" applyFont="1" applyFill="1" applyBorder="1" applyAlignment="1">
      <alignment horizontal="left" vertical="top" wrapText="1"/>
    </xf>
    <xf numFmtId="0" fontId="10" fillId="0" borderId="104" xfId="17" applyFont="1" applyFill="1" applyBorder="1" applyAlignment="1">
      <alignment horizontal="left" vertical="top" wrapText="1"/>
    </xf>
    <xf numFmtId="0" fontId="22" fillId="0" borderId="14" xfId="17" applyFont="1" applyFill="1" applyBorder="1" applyAlignment="1">
      <alignment horizontal="center" vertical="center" textRotation="90" wrapText="1"/>
    </xf>
    <xf numFmtId="0" fontId="18" fillId="0" borderId="23" xfId="17" applyFont="1" applyFill="1" applyBorder="1" applyAlignment="1">
      <alignment horizontal="left" vertical="top" wrapText="1"/>
    </xf>
    <xf numFmtId="0" fontId="18" fillId="0" borderId="24" xfId="17" applyFont="1" applyFill="1" applyBorder="1" applyAlignment="1">
      <alignment horizontal="left" vertical="top" wrapText="1"/>
    </xf>
    <xf numFmtId="0" fontId="18" fillId="0" borderId="12" xfId="17" applyFont="1" applyFill="1" applyBorder="1" applyAlignment="1">
      <alignment horizontal="left" vertical="top" wrapText="1"/>
    </xf>
    <xf numFmtId="0" fontId="18" fillId="0" borderId="0" xfId="0" applyFont="1" applyFill="1" applyAlignment="1">
      <alignment vertical="top" wrapText="1"/>
    </xf>
    <xf numFmtId="0" fontId="18" fillId="0" borderId="37" xfId="0" applyFont="1" applyBorder="1" applyAlignment="1">
      <alignment horizontal="center" vertical="top" wrapText="1"/>
    </xf>
    <xf numFmtId="0" fontId="18" fillId="0" borderId="36" xfId="0" applyFont="1" applyBorder="1" applyAlignment="1">
      <alignment horizontal="center" vertical="top" wrapText="1"/>
    </xf>
    <xf numFmtId="0" fontId="18" fillId="0" borderId="5" xfId="0" applyFont="1" applyBorder="1" applyAlignment="1">
      <alignment horizontal="center" vertical="top" wrapText="1"/>
    </xf>
    <xf numFmtId="0" fontId="18" fillId="0" borderId="66" xfId="0" applyFont="1" applyFill="1" applyBorder="1" applyAlignment="1">
      <alignment horizontal="left" wrapText="1"/>
    </xf>
    <xf numFmtId="0" fontId="18" fillId="0" borderId="36" xfId="0" applyFont="1" applyFill="1" applyBorder="1" applyAlignment="1">
      <alignment horizontal="left" wrapText="1"/>
    </xf>
    <xf numFmtId="0" fontId="18" fillId="0" borderId="5" xfId="0" applyFont="1" applyFill="1" applyBorder="1" applyAlignment="1">
      <alignment horizontal="left" wrapText="1"/>
    </xf>
    <xf numFmtId="0" fontId="18" fillId="0" borderId="37" xfId="17" applyFont="1" applyFill="1" applyBorder="1" applyAlignment="1">
      <alignment horizontal="center"/>
    </xf>
    <xf numFmtId="0" fontId="18" fillId="0" borderId="36" xfId="17" applyFont="1" applyFill="1" applyBorder="1" applyAlignment="1">
      <alignment horizontal="center"/>
    </xf>
    <xf numFmtId="0" fontId="18" fillId="0" borderId="5" xfId="17" applyFont="1" applyFill="1" applyBorder="1" applyAlignment="1">
      <alignment horizontal="center"/>
    </xf>
    <xf numFmtId="0" fontId="18" fillId="0" borderId="66" xfId="17" applyFont="1" applyFill="1" applyBorder="1" applyAlignment="1">
      <alignment horizontal="left" vertical="center" wrapText="1"/>
    </xf>
    <xf numFmtId="0" fontId="18" fillId="0" borderId="36" xfId="17" applyFont="1" applyFill="1" applyBorder="1" applyAlignment="1">
      <alignment horizontal="left" vertical="center" wrapText="1"/>
    </xf>
    <xf numFmtId="0" fontId="18" fillId="0" borderId="5" xfId="17" applyFont="1" applyFill="1" applyBorder="1" applyAlignment="1">
      <alignment horizontal="left" vertical="center" wrapText="1"/>
    </xf>
    <xf numFmtId="0" fontId="18" fillId="0" borderId="37" xfId="17" applyFont="1" applyFill="1" applyBorder="1" applyAlignment="1">
      <alignment horizontal="center" vertical="top" wrapText="1"/>
    </xf>
    <xf numFmtId="0" fontId="18" fillId="0" borderId="5" xfId="17" applyFont="1" applyFill="1" applyBorder="1" applyAlignment="1">
      <alignment horizontal="center" vertical="top" wrapText="1"/>
    </xf>
    <xf numFmtId="0" fontId="18" fillId="0" borderId="66" xfId="17" applyFont="1" applyFill="1" applyBorder="1" applyAlignment="1">
      <alignment horizontal="left" wrapText="1"/>
    </xf>
    <xf numFmtId="0" fontId="18" fillId="0" borderId="36" xfId="17" applyFont="1" applyFill="1" applyBorder="1" applyAlignment="1">
      <alignment horizontal="left" wrapText="1"/>
    </xf>
    <xf numFmtId="0" fontId="18" fillId="0" borderId="5" xfId="17" applyFont="1" applyFill="1" applyBorder="1" applyAlignment="1">
      <alignment horizontal="left" wrapText="1"/>
    </xf>
    <xf numFmtId="166" fontId="22" fillId="0" borderId="9" xfId="17" applyNumberFormat="1" applyFont="1" applyFill="1" applyBorder="1" applyAlignment="1">
      <alignment horizontal="center"/>
    </xf>
    <xf numFmtId="166" fontId="22" fillId="0" borderId="22" xfId="17" applyNumberFormat="1" applyFont="1" applyFill="1" applyBorder="1" applyAlignment="1">
      <alignment horizontal="center"/>
    </xf>
    <xf numFmtId="166" fontId="22" fillId="0" borderId="10" xfId="17" applyNumberFormat="1" applyFont="1" applyFill="1" applyBorder="1" applyAlignment="1">
      <alignment horizontal="center"/>
    </xf>
    <xf numFmtId="0" fontId="18" fillId="0" borderId="36" xfId="17" applyFont="1" applyFill="1" applyBorder="1" applyAlignment="1">
      <alignment horizontal="center" vertical="top" wrapText="1"/>
    </xf>
    <xf numFmtId="0" fontId="22" fillId="0" borderId="0" xfId="17" applyFont="1" applyFill="1" applyAlignment="1">
      <alignment horizontal="left" vertical="top"/>
    </xf>
    <xf numFmtId="0" fontId="18" fillId="0" borderId="9" xfId="17" applyFont="1" applyFill="1" applyBorder="1" applyAlignment="1">
      <alignment horizontal="center"/>
    </xf>
    <xf numFmtId="0" fontId="18" fillId="0" borderId="22" xfId="0" applyFont="1" applyFill="1" applyBorder="1" applyAlignment="1">
      <alignment horizontal="center"/>
    </xf>
    <xf numFmtId="0" fontId="18" fillId="0" borderId="10" xfId="0" applyFont="1" applyFill="1" applyBorder="1" applyAlignment="1">
      <alignment horizontal="center"/>
    </xf>
    <xf numFmtId="1" fontId="22" fillId="0" borderId="130" xfId="3" applyNumberFormat="1" applyFont="1" applyFill="1" applyBorder="1" applyAlignment="1">
      <alignment horizontal="center" vertical="center" wrapText="1"/>
    </xf>
    <xf numFmtId="1" fontId="18" fillId="0" borderId="112" xfId="3" applyNumberFormat="1" applyFont="1" applyFill="1" applyBorder="1" applyAlignment="1">
      <alignment horizontal="left" vertical="top" wrapText="1"/>
    </xf>
    <xf numFmtId="0" fontId="31" fillId="0" borderId="1" xfId="17" applyFont="1" applyFill="1" applyBorder="1" applyAlignment="1">
      <alignment horizontal="center" vertical="top" wrapText="1"/>
    </xf>
    <xf numFmtId="166" fontId="22" fillId="0" borderId="101" xfId="17" applyNumberFormat="1" applyFont="1" applyFill="1" applyBorder="1" applyAlignment="1">
      <alignment horizontal="left"/>
    </xf>
    <xf numFmtId="166" fontId="22" fillId="0" borderId="102" xfId="17" applyNumberFormat="1" applyFont="1" applyFill="1" applyBorder="1" applyAlignment="1">
      <alignment horizontal="left"/>
    </xf>
    <xf numFmtId="0" fontId="22" fillId="0" borderId="104" xfId="17" applyFont="1" applyFill="1" applyBorder="1" applyAlignment="1">
      <alignment horizontal="center" vertical="top" wrapText="1"/>
    </xf>
    <xf numFmtId="1" fontId="18" fillId="0" borderId="104" xfId="3" applyNumberFormat="1" applyFont="1" applyFill="1" applyBorder="1" applyAlignment="1">
      <alignment horizontal="left" vertical="top" wrapText="1"/>
    </xf>
    <xf numFmtId="0" fontId="9" fillId="0" borderId="132" xfId="17" applyFont="1" applyFill="1" applyBorder="1" applyAlignment="1">
      <alignment horizontal="center" vertical="center"/>
    </xf>
    <xf numFmtId="0" fontId="98" fillId="0" borderId="0" xfId="17" applyFont="1" applyFill="1" applyAlignment="1">
      <alignment horizontal="left" vertical="center" wrapText="1"/>
    </xf>
    <xf numFmtId="0" fontId="79" fillId="0" borderId="0" xfId="17" applyFont="1" applyFill="1" applyAlignment="1">
      <alignment horizontal="left" vertical="center" wrapText="1"/>
    </xf>
    <xf numFmtId="0" fontId="79" fillId="0" borderId="24" xfId="17" applyFont="1" applyFill="1" applyBorder="1" applyAlignment="1">
      <alignment horizontal="left" vertical="center" wrapText="1"/>
    </xf>
    <xf numFmtId="0" fontId="79" fillId="0" borderId="0" xfId="17" applyFont="1" applyFill="1" applyBorder="1" applyAlignment="1">
      <alignment horizontal="left" vertical="center" wrapText="1"/>
    </xf>
    <xf numFmtId="0" fontId="18" fillId="2" borderId="0" xfId="17" applyFont="1" applyFill="1" applyBorder="1" applyAlignment="1">
      <alignment horizontal="left" vertical="top" wrapText="1"/>
    </xf>
    <xf numFmtId="0" fontId="98" fillId="0" borderId="111" xfId="17" applyFont="1" applyFill="1" applyBorder="1" applyAlignment="1">
      <alignment horizontal="left" vertical="top" wrapText="1"/>
    </xf>
    <xf numFmtId="0" fontId="97" fillId="0" borderId="0" xfId="0" applyFont="1" applyFill="1" applyAlignment="1">
      <alignment horizontal="left" vertical="top" wrapText="1" readingOrder="1"/>
    </xf>
    <xf numFmtId="0" fontId="97" fillId="0" borderId="24" xfId="0" applyFont="1" applyFill="1" applyBorder="1" applyAlignment="1">
      <alignment horizontal="left" vertical="top" wrapText="1" readingOrder="1"/>
    </xf>
    <xf numFmtId="0" fontId="18" fillId="0" borderId="3" xfId="18" applyFont="1" applyFill="1" applyBorder="1" applyAlignment="1">
      <alignment horizontal="left" vertical="top" wrapText="1"/>
    </xf>
    <xf numFmtId="0" fontId="18" fillId="0" borderId="48" xfId="10" applyFont="1" applyFill="1" applyBorder="1" applyAlignment="1">
      <alignment horizontal="left" vertical="top" wrapText="1"/>
    </xf>
    <xf numFmtId="0" fontId="18" fillId="0" borderId="65" xfId="10" applyFont="1" applyFill="1" applyBorder="1" applyAlignment="1">
      <alignment horizontal="left" vertical="top" wrapText="1"/>
    </xf>
    <xf numFmtId="0" fontId="18" fillId="0" borderId="24" xfId="10" applyFont="1" applyFill="1" applyBorder="1" applyAlignment="1">
      <alignment horizontal="left" vertical="top" wrapText="1"/>
    </xf>
    <xf numFmtId="0" fontId="18" fillId="0" borderId="12" xfId="10" applyFont="1" applyFill="1" applyBorder="1" applyAlignment="1">
      <alignment horizontal="left" vertical="top" wrapText="1"/>
    </xf>
    <xf numFmtId="0" fontId="18" fillId="0" borderId="1" xfId="18" quotePrefix="1" applyFont="1" applyFill="1" applyBorder="1" applyAlignment="1">
      <alignment horizontal="left" vertical="top" wrapText="1"/>
    </xf>
    <xf numFmtId="0" fontId="18" fillId="0" borderId="0" xfId="18" quotePrefix="1" applyFont="1" applyFill="1" applyBorder="1" applyAlignment="1">
      <alignment horizontal="left" vertical="top" wrapText="1"/>
    </xf>
    <xf numFmtId="0" fontId="22" fillId="0" borderId="38" xfId="18" applyFont="1" applyFill="1" applyBorder="1" applyAlignment="1">
      <alignment horizontal="center" vertical="top" wrapText="1"/>
    </xf>
    <xf numFmtId="0" fontId="0" fillId="0" borderId="20" xfId="0" applyFill="1" applyBorder="1" applyAlignment="1">
      <alignment horizontal="center" vertical="top" wrapText="1"/>
    </xf>
    <xf numFmtId="0" fontId="0" fillId="0" borderId="80" xfId="0" applyFill="1" applyBorder="1" applyAlignment="1">
      <alignment horizontal="center" vertical="top" wrapText="1"/>
    </xf>
    <xf numFmtId="0" fontId="22" fillId="0" borderId="8" xfId="0" applyFont="1" applyFill="1" applyBorder="1" applyAlignment="1">
      <alignment horizontal="center" vertical="top" wrapText="1"/>
    </xf>
    <xf numFmtId="0" fontId="22" fillId="0" borderId="51" xfId="0" applyFont="1" applyFill="1" applyBorder="1" applyAlignment="1">
      <alignment horizontal="center" vertical="top" wrapText="1"/>
    </xf>
    <xf numFmtId="0" fontId="22" fillId="0" borderId="8" xfId="18" applyFont="1" applyFill="1" applyBorder="1" applyAlignment="1">
      <alignment horizontal="center" vertical="top" wrapText="1"/>
    </xf>
    <xf numFmtId="0" fontId="0" fillId="0" borderId="3" xfId="0" applyFill="1" applyBorder="1" applyAlignment="1">
      <alignment horizontal="center" vertical="top" wrapText="1"/>
    </xf>
    <xf numFmtId="0" fontId="0" fillId="0" borderId="51" xfId="0" applyFill="1" applyBorder="1" applyAlignment="1">
      <alignment horizontal="center" vertical="top" wrapText="1"/>
    </xf>
    <xf numFmtId="0" fontId="18" fillId="0" borderId="3" xfId="0" applyFont="1" applyFill="1" applyBorder="1" applyAlignment="1">
      <alignment horizontal="left" wrapText="1"/>
    </xf>
    <xf numFmtId="0" fontId="18" fillId="0" borderId="3" xfId="0" applyFont="1" applyBorder="1" applyAlignment="1">
      <alignment horizontal="left" wrapText="1"/>
    </xf>
    <xf numFmtId="0" fontId="98" fillId="0" borderId="43" xfId="18" applyFont="1" applyFill="1" applyBorder="1" applyAlignment="1">
      <alignment horizontal="left" vertical="top" wrapText="1"/>
    </xf>
    <xf numFmtId="1" fontId="79" fillId="0" borderId="127" xfId="3" applyNumberFormat="1" applyFont="1" applyFill="1" applyBorder="1" applyAlignment="1">
      <alignment horizontal="left" vertical="top" wrapText="1"/>
    </xf>
    <xf numFmtId="1" fontId="48" fillId="0" borderId="1" xfId="3" applyNumberFormat="1" applyFont="1" applyFill="1" applyBorder="1" applyAlignment="1">
      <alignment horizontal="center" vertical="top" wrapText="1"/>
    </xf>
    <xf numFmtId="1" fontId="48" fillId="0" borderId="2" xfId="3" applyNumberFormat="1" applyFont="1" applyFill="1" applyBorder="1" applyAlignment="1">
      <alignment horizontal="center" vertical="top" wrapText="1"/>
    </xf>
    <xf numFmtId="0" fontId="22" fillId="2" borderId="143" xfId="17" applyFont="1" applyFill="1" applyBorder="1" applyAlignment="1">
      <alignment horizontal="center" vertical="center" textRotation="90" wrapText="1"/>
    </xf>
    <xf numFmtId="0" fontId="22" fillId="2" borderId="144" xfId="17" applyFont="1" applyFill="1" applyBorder="1" applyAlignment="1">
      <alignment horizontal="center" vertical="center" textRotation="90" wrapText="1"/>
    </xf>
    <xf numFmtId="0" fontId="22" fillId="2" borderId="140" xfId="17" applyFont="1" applyFill="1" applyBorder="1" applyAlignment="1">
      <alignment horizontal="center" vertical="center" textRotation="90" wrapText="1"/>
    </xf>
    <xf numFmtId="0" fontId="22" fillId="2" borderId="20" xfId="17" applyFont="1" applyFill="1" applyBorder="1" applyAlignment="1">
      <alignment horizontal="left" vertical="top" wrapText="1"/>
    </xf>
    <xf numFmtId="0" fontId="62" fillId="0" borderId="20" xfId="17" applyFont="1" applyFill="1" applyBorder="1" applyAlignment="1">
      <alignment horizontal="center" vertical="center" wrapText="1"/>
    </xf>
    <xf numFmtId="0" fontId="62" fillId="0" borderId="21" xfId="17" applyFont="1" applyFill="1" applyBorder="1" applyAlignment="1">
      <alignment horizontal="center" vertical="center" wrapText="1"/>
    </xf>
    <xf numFmtId="0" fontId="18" fillId="0" borderId="3" xfId="17" applyFont="1" applyFill="1" applyBorder="1" applyAlignment="1">
      <alignment horizontal="center" vertical="center"/>
    </xf>
    <xf numFmtId="0" fontId="18" fillId="0" borderId="6" xfId="17" applyFont="1" applyFill="1" applyBorder="1" applyAlignment="1">
      <alignment horizontal="center" vertical="center"/>
    </xf>
    <xf numFmtId="0" fontId="18" fillId="0" borderId="127" xfId="17" applyFont="1" applyFill="1" applyBorder="1" applyAlignment="1">
      <alignment horizontal="center" vertical="center"/>
    </xf>
    <xf numFmtId="0" fontId="18" fillId="0" borderId="142" xfId="17" applyFont="1" applyFill="1" applyBorder="1" applyAlignment="1">
      <alignment horizontal="center" vertical="center"/>
    </xf>
    <xf numFmtId="166" fontId="22" fillId="0" borderId="9" xfId="17" applyNumberFormat="1" applyFont="1" applyFill="1" applyBorder="1" applyAlignment="1">
      <alignment horizontal="left"/>
    </xf>
    <xf numFmtId="166" fontId="22" fillId="0" borderId="22" xfId="17" applyNumberFormat="1" applyFont="1" applyFill="1" applyBorder="1" applyAlignment="1">
      <alignment horizontal="left"/>
    </xf>
    <xf numFmtId="166" fontId="22" fillId="0" borderId="10" xfId="17" applyNumberFormat="1" applyFont="1" applyFill="1" applyBorder="1" applyAlignment="1">
      <alignment horizontal="left"/>
    </xf>
    <xf numFmtId="1" fontId="22" fillId="0" borderId="8" xfId="3" applyNumberFormat="1" applyFont="1" applyFill="1" applyBorder="1" applyAlignment="1">
      <alignment horizontal="center" wrapText="1"/>
    </xf>
    <xf numFmtId="0" fontId="61" fillId="0" borderId="1" xfId="17" applyFont="1" applyFill="1" applyBorder="1" applyAlignment="1">
      <alignment horizontal="center" vertical="top" wrapText="1"/>
    </xf>
    <xf numFmtId="0" fontId="61" fillId="0" borderId="0" xfId="17" applyFont="1" applyFill="1" applyBorder="1" applyAlignment="1">
      <alignment horizontal="center" vertical="top" wrapText="1"/>
    </xf>
    <xf numFmtId="0" fontId="61" fillId="0" borderId="104" xfId="17" applyFont="1" applyFill="1" applyBorder="1" applyAlignment="1">
      <alignment horizontal="center" vertical="top" wrapText="1"/>
    </xf>
    <xf numFmtId="0" fontId="95" fillId="0" borderId="8" xfId="0" applyFont="1" applyBorder="1" applyAlignment="1">
      <alignment horizontal="left" vertical="center" wrapText="1"/>
    </xf>
    <xf numFmtId="0" fontId="96" fillId="0" borderId="3" xfId="0" applyFont="1" applyBorder="1" applyAlignment="1">
      <alignment horizontal="left" vertical="center" wrapText="1"/>
    </xf>
    <xf numFmtId="0" fontId="96" fillId="0" borderId="6" xfId="0" applyFont="1" applyBorder="1" applyAlignment="1">
      <alignment horizontal="left" vertical="center" wrapText="1"/>
    </xf>
    <xf numFmtId="0" fontId="18" fillId="0" borderId="23" xfId="0" applyFont="1" applyBorder="1" applyAlignment="1">
      <alignment horizontal="left" vertical="top" wrapText="1"/>
    </xf>
    <xf numFmtId="0" fontId="18" fillId="0" borderId="0" xfId="0" applyFont="1" applyAlignment="1">
      <alignment horizontal="left" wrapText="1"/>
    </xf>
    <xf numFmtId="0" fontId="22" fillId="0" borderId="4" xfId="0" applyFont="1" applyBorder="1" applyAlignment="1">
      <alignment horizontal="center" vertical="center" textRotation="90"/>
    </xf>
    <xf numFmtId="0" fontId="22" fillId="0" borderId="37" xfId="0" applyFont="1" applyBorder="1" applyAlignment="1">
      <alignment horizontal="center" vertical="center" textRotation="90"/>
    </xf>
    <xf numFmtId="0" fontId="18" fillId="0" borderId="4" xfId="0" applyFont="1" applyBorder="1" applyAlignment="1">
      <alignment horizontal="left" vertical="top" wrapText="1"/>
    </xf>
    <xf numFmtId="0" fontId="18" fillId="0" borderId="6" xfId="0" applyFont="1" applyBorder="1" applyAlignment="1">
      <alignment horizontal="center" vertical="top" wrapText="1"/>
    </xf>
    <xf numFmtId="0" fontId="61" fillId="0" borderId="9" xfId="0" applyFont="1" applyBorder="1" applyAlignment="1">
      <alignment horizontal="left" vertical="top" wrapText="1"/>
    </xf>
    <xf numFmtId="0" fontId="61" fillId="0" borderId="1" xfId="0" applyFont="1" applyBorder="1" applyAlignment="1">
      <alignment horizontal="left" vertical="top" wrapText="1"/>
    </xf>
    <xf numFmtId="0" fontId="61" fillId="0" borderId="23" xfId="0" applyFont="1" applyBorder="1" applyAlignment="1">
      <alignment horizontal="left" vertical="top" wrapText="1"/>
    </xf>
    <xf numFmtId="0" fontId="10" fillId="0" borderId="3" xfId="0" applyFont="1" applyBorder="1" applyAlignment="1">
      <alignment horizontal="left" vertical="top" wrapText="1"/>
    </xf>
    <xf numFmtId="0" fontId="10" fillId="0" borderId="6" xfId="0" applyFont="1" applyBorder="1" applyAlignment="1">
      <alignment horizontal="left" vertical="top" wrapText="1"/>
    </xf>
    <xf numFmtId="166" fontId="22" fillId="0" borderId="37" xfId="17" applyNumberFormat="1" applyFont="1" applyFill="1" applyBorder="1" applyAlignment="1">
      <alignment horizontal="center" vertical="top"/>
    </xf>
    <xf numFmtId="166" fontId="22" fillId="0" borderId="5" xfId="17" applyNumberFormat="1" applyFont="1" applyFill="1" applyBorder="1" applyAlignment="1">
      <alignment horizontal="center" vertical="top"/>
    </xf>
    <xf numFmtId="0" fontId="61" fillId="0" borderId="8" xfId="0" applyFont="1" applyFill="1" applyBorder="1" applyAlignment="1">
      <alignment horizontal="left" vertical="top" wrapText="1"/>
    </xf>
    <xf numFmtId="0" fontId="61" fillId="0" borderId="10" xfId="0" applyFont="1" applyBorder="1" applyAlignment="1">
      <alignment horizontal="left" vertical="top" wrapText="1"/>
    </xf>
    <xf numFmtId="0" fontId="61" fillId="0" borderId="12" xfId="0" applyFont="1" applyBorder="1" applyAlignment="1">
      <alignment horizontal="left" vertical="top" wrapText="1"/>
    </xf>
    <xf numFmtId="166" fontId="22" fillId="2" borderId="37" xfId="17" applyNumberFormat="1" applyFont="1" applyFill="1" applyBorder="1" applyAlignment="1">
      <alignment horizontal="center"/>
    </xf>
    <xf numFmtId="166" fontId="22" fillId="2" borderId="5" xfId="17" applyNumberFormat="1" applyFont="1" applyFill="1" applyBorder="1" applyAlignment="1">
      <alignment horizontal="center"/>
    </xf>
    <xf numFmtId="166" fontId="22" fillId="2" borderId="37" xfId="17" applyNumberFormat="1" applyFont="1" applyFill="1" applyBorder="1" applyAlignment="1">
      <alignment horizontal="center" vertical="top"/>
    </xf>
    <xf numFmtId="166" fontId="22" fillId="2" borderId="36" xfId="17" applyNumberFormat="1" applyFont="1" applyFill="1" applyBorder="1" applyAlignment="1">
      <alignment horizontal="center" vertical="top"/>
    </xf>
    <xf numFmtId="166" fontId="22" fillId="2" borderId="5" xfId="17" applyNumberFormat="1" applyFont="1" applyFill="1" applyBorder="1" applyAlignment="1">
      <alignment horizontal="center" vertical="top"/>
    </xf>
    <xf numFmtId="166" fontId="22" fillId="0" borderId="4" xfId="17" applyNumberFormat="1" applyFont="1" applyFill="1" applyBorder="1" applyAlignment="1">
      <alignment horizontal="center" vertical="top"/>
    </xf>
    <xf numFmtId="166" fontId="22" fillId="2" borderId="4" xfId="17" applyNumberFormat="1" applyFont="1" applyFill="1" applyBorder="1" applyAlignment="1">
      <alignment horizontal="center" vertical="top"/>
    </xf>
    <xf numFmtId="0" fontId="18" fillId="0" borderId="4" xfId="0" applyFont="1" applyFill="1" applyBorder="1" applyAlignment="1">
      <alignment horizontal="center" vertical="center" wrapText="1"/>
    </xf>
    <xf numFmtId="0" fontId="61" fillId="0" borderId="6" xfId="0" applyFont="1" applyBorder="1" applyAlignment="1">
      <alignment horizontal="left" vertical="top" wrapText="1"/>
    </xf>
    <xf numFmtId="0" fontId="18" fillId="0" borderId="5" xfId="0" applyFont="1" applyFill="1" applyBorder="1" applyAlignment="1">
      <alignment horizontal="center" vertical="center" wrapText="1"/>
    </xf>
    <xf numFmtId="0" fontId="18" fillId="0" borderId="37" xfId="0" applyFont="1" applyFill="1" applyBorder="1" applyAlignment="1">
      <alignment horizontal="center" vertical="center" wrapText="1"/>
    </xf>
    <xf numFmtId="0" fontId="18" fillId="0" borderId="9" xfId="0" applyFont="1" applyFill="1" applyBorder="1" applyAlignment="1">
      <alignment horizontal="center" vertical="top" wrapText="1"/>
    </xf>
    <xf numFmtId="0" fontId="18" fillId="0" borderId="10" xfId="0" applyFont="1" applyFill="1" applyBorder="1" applyAlignment="1">
      <alignment horizontal="center" vertical="top" wrapText="1"/>
    </xf>
    <xf numFmtId="0" fontId="18" fillId="0" borderId="23" xfId="0" applyFont="1" applyFill="1" applyBorder="1" applyAlignment="1">
      <alignment horizontal="center" vertical="top" wrapText="1"/>
    </xf>
    <xf numFmtId="0" fontId="18" fillId="0" borderId="12" xfId="0" applyFont="1" applyFill="1" applyBorder="1" applyAlignment="1">
      <alignment horizontal="center" vertical="top" wrapText="1"/>
    </xf>
    <xf numFmtId="0" fontId="18" fillId="0" borderId="36" xfId="0" applyFont="1" applyFill="1" applyBorder="1" applyAlignment="1">
      <alignment horizontal="center" vertical="center" wrapText="1"/>
    </xf>
    <xf numFmtId="0" fontId="57" fillId="0" borderId="9" xfId="0" applyFont="1" applyBorder="1" applyAlignment="1">
      <alignment horizontal="center" wrapText="1"/>
    </xf>
    <xf numFmtId="0" fontId="57" fillId="0" borderId="22" xfId="0" applyFont="1" applyBorder="1" applyAlignment="1">
      <alignment horizontal="center" wrapText="1"/>
    </xf>
    <xf numFmtId="0" fontId="57" fillId="0" borderId="10" xfId="0" applyFont="1" applyBorder="1" applyAlignment="1">
      <alignment horizontal="center" wrapText="1"/>
    </xf>
    <xf numFmtId="0" fontId="57" fillId="0" borderId="23" xfId="0" applyFont="1" applyBorder="1" applyAlignment="1">
      <alignment horizontal="center" wrapText="1"/>
    </xf>
    <xf numFmtId="0" fontId="57" fillId="0" borderId="24" xfId="0" applyFont="1" applyBorder="1" applyAlignment="1">
      <alignment horizontal="center" wrapText="1"/>
    </xf>
    <xf numFmtId="0" fontId="57" fillId="0" borderId="12" xfId="0" applyFont="1" applyBorder="1" applyAlignment="1">
      <alignment horizontal="center" wrapText="1"/>
    </xf>
    <xf numFmtId="0" fontId="98" fillId="0" borderId="22" xfId="0" applyFont="1" applyBorder="1" applyAlignment="1">
      <alignment horizontal="left" vertical="top" wrapText="1"/>
    </xf>
    <xf numFmtId="0" fontId="98" fillId="0" borderId="10" xfId="0" applyFont="1" applyBorder="1" applyAlignment="1">
      <alignment horizontal="left" vertical="top" wrapText="1"/>
    </xf>
    <xf numFmtId="0" fontId="98" fillId="0" borderId="0" xfId="0" applyFont="1" applyBorder="1" applyAlignment="1">
      <alignment horizontal="left" vertical="top" wrapText="1"/>
    </xf>
    <xf numFmtId="0" fontId="98" fillId="0" borderId="2" xfId="0" applyFont="1" applyBorder="1" applyAlignment="1">
      <alignment horizontal="left" vertical="top" wrapText="1"/>
    </xf>
    <xf numFmtId="0" fontId="98" fillId="0" borderId="24" xfId="0" applyFont="1" applyBorder="1" applyAlignment="1">
      <alignment horizontal="left" vertical="top" wrapText="1"/>
    </xf>
    <xf numFmtId="0" fontId="98" fillId="0" borderId="12" xfId="0" applyFont="1" applyBorder="1" applyAlignment="1">
      <alignment horizontal="left" vertical="top" wrapText="1"/>
    </xf>
    <xf numFmtId="0" fontId="33"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6" fillId="0" borderId="4" xfId="0" applyFont="1" applyBorder="1" applyAlignment="1">
      <alignment horizontal="center" vertical="top"/>
    </xf>
    <xf numFmtId="0" fontId="6" fillId="0" borderId="36" xfId="0" applyFont="1" applyBorder="1" applyAlignment="1">
      <alignment horizontal="center" vertical="top"/>
    </xf>
    <xf numFmtId="0" fontId="6" fillId="0" borderId="0" xfId="0" applyFont="1" applyAlignment="1">
      <alignment horizontal="left"/>
    </xf>
    <xf numFmtId="0" fontId="61" fillId="0" borderId="8" xfId="0" applyFont="1" applyBorder="1" applyAlignment="1">
      <alignment vertical="top" wrapText="1"/>
    </xf>
    <xf numFmtId="0" fontId="61" fillId="0" borderId="3" xfId="0" applyFont="1" applyBorder="1" applyAlignment="1">
      <alignment vertical="top" wrapText="1"/>
    </xf>
    <xf numFmtId="0" fontId="18" fillId="0" borderId="10" xfId="0" applyFont="1" applyFill="1" applyBorder="1" applyAlignment="1">
      <alignment horizontal="left" vertical="top" wrapText="1"/>
    </xf>
    <xf numFmtId="0" fontId="61" fillId="0" borderId="0" xfId="0" applyFont="1" applyAlignment="1">
      <alignment horizontal="left" wrapText="1"/>
    </xf>
    <xf numFmtId="0" fontId="18" fillId="0" borderId="0" xfId="0" applyFont="1" applyAlignment="1">
      <alignment horizontal="left" vertical="center" wrapText="1"/>
    </xf>
    <xf numFmtId="0" fontId="61" fillId="0" borderId="4" xfId="0" applyFont="1" applyFill="1" applyBorder="1" applyAlignment="1">
      <alignment horizontal="left" vertical="top" wrapText="1"/>
    </xf>
    <xf numFmtId="0" fontId="18" fillId="0" borderId="4" xfId="0" applyFont="1" applyBorder="1" applyAlignment="1">
      <alignment horizontal="left" vertical="top"/>
    </xf>
    <xf numFmtId="0" fontId="61" fillId="0" borderId="22" xfId="0" applyFont="1" applyFill="1" applyBorder="1" applyAlignment="1">
      <alignment horizontal="left" vertical="top" wrapText="1"/>
    </xf>
    <xf numFmtId="0" fontId="61" fillId="0" borderId="10" xfId="0" applyFont="1" applyFill="1" applyBorder="1" applyAlignment="1">
      <alignment horizontal="left" vertical="top" wrapText="1"/>
    </xf>
    <xf numFmtId="0" fontId="61" fillId="0" borderId="0" xfId="0" applyFont="1" applyFill="1" applyBorder="1" applyAlignment="1">
      <alignment horizontal="left" vertical="top" wrapText="1"/>
    </xf>
    <xf numFmtId="0" fontId="61" fillId="0" borderId="2" xfId="0" applyFont="1" applyFill="1" applyBorder="1" applyAlignment="1">
      <alignment horizontal="left" vertical="top" wrapText="1"/>
    </xf>
    <xf numFmtId="0" fontId="61" fillId="0" borderId="24" xfId="0" applyFont="1" applyFill="1" applyBorder="1" applyAlignment="1">
      <alignment horizontal="left" vertical="top" wrapText="1"/>
    </xf>
    <xf numFmtId="0" fontId="61" fillId="0" borderId="12" xfId="0" applyFont="1" applyFill="1" applyBorder="1" applyAlignment="1">
      <alignment horizontal="left" vertical="top" wrapText="1"/>
    </xf>
    <xf numFmtId="0" fontId="79" fillId="0" borderId="4" xfId="0" applyFont="1" applyFill="1" applyBorder="1" applyAlignment="1">
      <alignment horizontal="left" vertical="top" wrapText="1"/>
    </xf>
    <xf numFmtId="0" fontId="18" fillId="0" borderId="4" xfId="0" applyFont="1" applyFill="1" applyBorder="1" applyAlignment="1">
      <alignment horizontal="left" vertical="top" wrapText="1"/>
    </xf>
    <xf numFmtId="0" fontId="18" fillId="0" borderId="8" xfId="11" applyFont="1" applyBorder="1" applyAlignment="1">
      <alignment horizontal="left" vertical="top" wrapText="1"/>
    </xf>
    <xf numFmtId="0" fontId="18" fillId="0" borderId="3" xfId="11" applyFont="1" applyBorder="1" applyAlignment="1">
      <alignment horizontal="left" vertical="top" wrapText="1"/>
    </xf>
    <xf numFmtId="0" fontId="18" fillId="0" borderId="99" xfId="11" applyFont="1" applyBorder="1" applyAlignment="1">
      <alignment horizontal="left" vertical="top" wrapText="1"/>
    </xf>
    <xf numFmtId="0" fontId="18" fillId="0" borderId="4" xfId="13" applyFont="1" applyBorder="1" applyAlignment="1">
      <alignment horizontal="left" vertical="top" wrapText="1"/>
    </xf>
    <xf numFmtId="0" fontId="22" fillId="0" borderId="8" xfId="0" applyFont="1" applyBorder="1" applyAlignment="1">
      <alignment horizontal="center" textRotation="90" wrapText="1"/>
    </xf>
    <xf numFmtId="0" fontId="22" fillId="0" borderId="3" xfId="0" applyFont="1" applyBorder="1" applyAlignment="1">
      <alignment horizontal="center" textRotation="90" wrapText="1"/>
    </xf>
    <xf numFmtId="0" fontId="22" fillId="0" borderId="6" xfId="0" applyFont="1" applyBorder="1" applyAlignment="1">
      <alignment horizontal="center" textRotation="90" wrapText="1"/>
    </xf>
    <xf numFmtId="0" fontId="13" fillId="0" borderId="8" xfId="0" applyFont="1" applyBorder="1" applyAlignment="1">
      <alignment horizontal="left" vertical="top" wrapText="1"/>
    </xf>
    <xf numFmtId="0" fontId="82" fillId="2" borderId="37" xfId="17" applyFont="1" applyFill="1" applyBorder="1" applyAlignment="1">
      <alignment horizontal="center" vertical="center"/>
    </xf>
    <xf numFmtId="0" fontId="82" fillId="2" borderId="36" xfId="17" applyFont="1" applyFill="1" applyBorder="1" applyAlignment="1">
      <alignment horizontal="center" vertical="center"/>
    </xf>
    <xf numFmtId="0" fontId="82" fillId="2" borderId="5" xfId="17" applyFont="1" applyFill="1" applyBorder="1" applyAlignment="1">
      <alignment horizontal="center" vertical="center"/>
    </xf>
    <xf numFmtId="0" fontId="18" fillId="0" borderId="8" xfId="11" applyFont="1" applyFill="1" applyBorder="1" applyAlignment="1">
      <alignment horizontal="left" vertical="top" wrapText="1"/>
    </xf>
    <xf numFmtId="0" fontId="18" fillId="0" borderId="3" xfId="11" applyFont="1" applyFill="1" applyBorder="1" applyAlignment="1">
      <alignment horizontal="left" vertical="top" wrapText="1"/>
    </xf>
    <xf numFmtId="0" fontId="18" fillId="0" borderId="6" xfId="11" applyFont="1" applyFill="1" applyBorder="1" applyAlignment="1">
      <alignment horizontal="left" vertical="top" wrapText="1"/>
    </xf>
    <xf numFmtId="0" fontId="79" fillId="0" borderId="9" xfId="11" applyFont="1" applyBorder="1" applyAlignment="1">
      <alignment horizontal="left" vertical="top" wrapText="1"/>
    </xf>
    <xf numFmtId="0" fontId="79" fillId="0" borderId="10" xfId="11" applyFont="1" applyBorder="1" applyAlignment="1">
      <alignment horizontal="left" vertical="top" wrapText="1"/>
    </xf>
    <xf numFmtId="0" fontId="79" fillId="0" borderId="1" xfId="11" applyFont="1" applyBorder="1" applyAlignment="1">
      <alignment horizontal="left" vertical="top" wrapText="1"/>
    </xf>
    <xf numFmtId="0" fontId="79" fillId="0" borderId="2" xfId="11" applyFont="1" applyBorder="1" applyAlignment="1">
      <alignment horizontal="left" vertical="top" wrapText="1"/>
    </xf>
    <xf numFmtId="0" fontId="18" fillId="0" borderId="6" xfId="11" applyFont="1" applyBorder="1" applyAlignment="1">
      <alignment horizontal="left" vertical="top" wrapText="1"/>
    </xf>
    <xf numFmtId="0" fontId="79" fillId="0" borderId="9" xfId="0" applyFont="1" applyBorder="1" applyAlignment="1">
      <alignment horizontal="left" vertical="top" wrapText="1"/>
    </xf>
    <xf numFmtId="0" fontId="79" fillId="0" borderId="22" xfId="0" applyFont="1" applyBorder="1" applyAlignment="1">
      <alignment horizontal="left" vertical="top" wrapText="1"/>
    </xf>
    <xf numFmtId="0" fontId="79" fillId="0" borderId="10" xfId="0" applyFont="1" applyBorder="1" applyAlignment="1">
      <alignment horizontal="left" vertical="top" wrapText="1"/>
    </xf>
    <xf numFmtId="0" fontId="79" fillId="0" borderId="0" xfId="0" applyFont="1" applyBorder="1" applyAlignment="1">
      <alignment horizontal="left" vertical="top" wrapText="1"/>
    </xf>
    <xf numFmtId="0" fontId="79" fillId="0" borderId="2" xfId="0" applyFont="1" applyBorder="1" applyAlignment="1">
      <alignment horizontal="left" vertical="top" wrapText="1"/>
    </xf>
    <xf numFmtId="0" fontId="58" fillId="0" borderId="1" xfId="0" applyFont="1" applyBorder="1" applyAlignment="1">
      <alignment horizontal="left" vertical="top" wrapText="1"/>
    </xf>
    <xf numFmtId="0" fontId="58" fillId="0" borderId="0" xfId="0" applyFont="1" applyBorder="1" applyAlignment="1">
      <alignment horizontal="left" vertical="top" wrapText="1"/>
    </xf>
    <xf numFmtId="0" fontId="58" fillId="0" borderId="2" xfId="0" applyFont="1" applyBorder="1" applyAlignment="1">
      <alignment horizontal="left" vertical="top" wrapText="1"/>
    </xf>
    <xf numFmtId="0" fontId="58" fillId="0" borderId="23" xfId="0" applyFont="1" applyBorder="1" applyAlignment="1">
      <alignment horizontal="left" vertical="top" wrapText="1"/>
    </xf>
    <xf numFmtId="0" fontId="58" fillId="0" borderId="24" xfId="0" applyFont="1" applyBorder="1" applyAlignment="1">
      <alignment horizontal="left" vertical="top" wrapText="1"/>
    </xf>
    <xf numFmtId="0" fontId="58" fillId="0" borderId="12" xfId="0" applyFont="1" applyBorder="1" applyAlignment="1">
      <alignment horizontal="left" vertical="top" wrapText="1"/>
    </xf>
    <xf numFmtId="0" fontId="51" fillId="0" borderId="9" xfId="0" applyFont="1" applyBorder="1" applyAlignment="1">
      <alignment horizontal="left" vertical="top" wrapText="1"/>
    </xf>
    <xf numFmtId="0" fontId="80" fillId="0" borderId="10" xfId="0" applyFont="1" applyBorder="1" applyAlignment="1">
      <alignment horizontal="left" vertical="top" wrapText="1"/>
    </xf>
    <xf numFmtId="0" fontId="80" fillId="0" borderId="1" xfId="0" applyFont="1" applyBorder="1" applyAlignment="1">
      <alignment horizontal="left" vertical="top" wrapText="1"/>
    </xf>
    <xf numFmtId="0" fontId="80" fillId="0" borderId="2" xfId="0" applyFont="1" applyBorder="1" applyAlignment="1">
      <alignment horizontal="left" vertical="top" wrapText="1"/>
    </xf>
    <xf numFmtId="0" fontId="80" fillId="0" borderId="23" xfId="0" applyFont="1" applyBorder="1" applyAlignment="1">
      <alignment horizontal="left" vertical="top" wrapText="1"/>
    </xf>
    <xf numFmtId="0" fontId="80" fillId="0" borderId="12" xfId="0" applyFont="1" applyBorder="1" applyAlignment="1">
      <alignment horizontal="left" vertical="top" wrapText="1"/>
    </xf>
    <xf numFmtId="0" fontId="10" fillId="0" borderId="8" xfId="0" applyFont="1" applyBorder="1" applyAlignment="1">
      <alignment horizontal="left" vertical="top" wrapText="1"/>
    </xf>
    <xf numFmtId="0" fontId="22" fillId="2" borderId="37" xfId="17" applyFont="1" applyFill="1" applyBorder="1" applyAlignment="1">
      <alignment horizontal="center" vertical="center"/>
    </xf>
    <xf numFmtId="0" fontId="22" fillId="2" borderId="36" xfId="17" applyFont="1" applyFill="1" applyBorder="1" applyAlignment="1">
      <alignment horizontal="center" vertical="center"/>
    </xf>
    <xf numFmtId="0" fontId="22" fillId="2" borderId="5" xfId="17" applyFont="1" applyFill="1" applyBorder="1" applyAlignment="1">
      <alignment horizontal="center" vertical="center"/>
    </xf>
    <xf numFmtId="0" fontId="10" fillId="0" borderId="4" xfId="0" applyFont="1" applyBorder="1" applyAlignment="1">
      <alignment horizontal="left" vertical="top" wrapText="1"/>
    </xf>
    <xf numFmtId="0" fontId="4" fillId="0" borderId="0" xfId="0" applyFont="1" applyAlignment="1">
      <alignment horizontal="left" wrapText="1"/>
    </xf>
    <xf numFmtId="0" fontId="4" fillId="0" borderId="24" xfId="0" applyFont="1" applyBorder="1" applyAlignment="1">
      <alignment horizontal="left" wrapText="1"/>
    </xf>
    <xf numFmtId="0" fontId="61" fillId="0" borderId="22" xfId="0" applyFont="1" applyBorder="1" applyAlignment="1">
      <alignment horizontal="left" vertical="top" wrapText="1"/>
    </xf>
    <xf numFmtId="0" fontId="61" fillId="0" borderId="0" xfId="0" applyFont="1" applyBorder="1" applyAlignment="1">
      <alignment horizontal="left" vertical="top" wrapText="1"/>
    </xf>
    <xf numFmtId="166" fontId="67" fillId="0" borderId="9" xfId="0" applyNumberFormat="1" applyFont="1" applyBorder="1" applyAlignment="1">
      <alignment horizontal="center" vertical="top" wrapText="1"/>
    </xf>
    <xf numFmtId="166" fontId="67" fillId="0" borderId="10" xfId="0" applyNumberFormat="1" applyFont="1" applyBorder="1" applyAlignment="1">
      <alignment horizontal="center" vertical="top" wrapText="1"/>
    </xf>
    <xf numFmtId="166" fontId="97" fillId="0" borderId="22" xfId="0" applyNumberFormat="1" applyFont="1" applyBorder="1" applyAlignment="1">
      <alignment horizontal="center" vertical="top" wrapText="1"/>
    </xf>
    <xf numFmtId="166" fontId="67" fillId="0" borderId="22" xfId="0" applyNumberFormat="1" applyFont="1" applyBorder="1" applyAlignment="1">
      <alignment horizontal="center" vertical="top" wrapText="1"/>
    </xf>
    <xf numFmtId="0" fontId="61" fillId="0" borderId="37" xfId="0" applyFont="1" applyBorder="1" applyAlignment="1">
      <alignment horizontal="center" vertical="top" wrapText="1"/>
    </xf>
    <xf numFmtId="0" fontId="61" fillId="0" borderId="36" xfId="0" applyFont="1" applyBorder="1" applyAlignment="1">
      <alignment horizontal="center" vertical="top" wrapText="1"/>
    </xf>
    <xf numFmtId="0" fontId="61" fillId="0" borderId="5" xfId="0" applyFont="1" applyBorder="1" applyAlignment="1">
      <alignment horizontal="center" vertical="top" wrapText="1"/>
    </xf>
    <xf numFmtId="0" fontId="98" fillId="0" borderId="9" xfId="0" applyFont="1" applyBorder="1" applyAlignment="1">
      <alignment horizontal="left" vertical="top" wrapText="1"/>
    </xf>
    <xf numFmtId="0" fontId="61" fillId="0" borderId="8" xfId="0" applyFont="1" applyBorder="1" applyAlignment="1">
      <alignment horizontal="center" vertical="top" wrapText="1"/>
    </xf>
    <xf numFmtId="0" fontId="61" fillId="0" borderId="3" xfId="0" applyFont="1" applyBorder="1" applyAlignment="1">
      <alignment horizontal="center" vertical="top" wrapText="1"/>
    </xf>
    <xf numFmtId="0" fontId="61" fillId="0" borderId="6" xfId="0" applyFont="1" applyBorder="1" applyAlignment="1">
      <alignment horizontal="center" vertical="top" wrapText="1"/>
    </xf>
    <xf numFmtId="166" fontId="67" fillId="0" borderId="37" xfId="0" applyNumberFormat="1" applyFont="1" applyBorder="1" applyAlignment="1">
      <alignment horizontal="center" vertical="top" wrapText="1"/>
    </xf>
    <xf numFmtId="166" fontId="67" fillId="0" borderId="36" xfId="0" applyNumberFormat="1" applyFont="1" applyBorder="1" applyAlignment="1">
      <alignment horizontal="center" vertical="top" wrapText="1"/>
    </xf>
    <xf numFmtId="166" fontId="67" fillId="0" borderId="5" xfId="0" applyNumberFormat="1" applyFont="1" applyBorder="1" applyAlignment="1">
      <alignment horizontal="center" vertical="top" wrapText="1"/>
    </xf>
    <xf numFmtId="0" fontId="61" fillId="0" borderId="36" xfId="0" applyFont="1" applyBorder="1" applyAlignment="1">
      <alignment horizontal="left" vertical="top" wrapText="1"/>
    </xf>
    <xf numFmtId="0" fontId="18" fillId="7" borderId="9" xfId="0" applyFont="1" applyFill="1" applyBorder="1" applyAlignment="1">
      <alignment horizontal="left" vertical="top" wrapText="1"/>
    </xf>
    <xf numFmtId="0" fontId="18" fillId="7" borderId="22" xfId="0" applyFont="1" applyFill="1" applyBorder="1" applyAlignment="1">
      <alignment horizontal="left" vertical="top" wrapText="1"/>
    </xf>
    <xf numFmtId="0" fontId="18" fillId="7" borderId="10" xfId="0" applyFont="1" applyFill="1" applyBorder="1" applyAlignment="1">
      <alignment horizontal="left" vertical="top" wrapText="1"/>
    </xf>
    <xf numFmtId="0" fontId="98" fillId="7" borderId="9" xfId="0" applyFont="1" applyFill="1" applyBorder="1" applyAlignment="1">
      <alignment horizontal="left" vertical="top" wrapText="1"/>
    </xf>
    <xf numFmtId="0" fontId="98" fillId="7" borderId="10" xfId="0" applyFont="1" applyFill="1" applyBorder="1" applyAlignment="1">
      <alignment horizontal="left" vertical="top" wrapText="1"/>
    </xf>
    <xf numFmtId="0" fontId="61" fillId="0" borderId="22" xfId="0" applyFont="1" applyBorder="1" applyAlignment="1">
      <alignment horizontal="left" wrapText="1"/>
    </xf>
    <xf numFmtId="0" fontId="58" fillId="0" borderId="0" xfId="0" applyFont="1" applyBorder="1" applyAlignment="1">
      <alignment horizontal="left" wrapText="1"/>
    </xf>
    <xf numFmtId="166" fontId="22" fillId="0" borderId="0" xfId="17" applyNumberFormat="1" applyFont="1" applyFill="1" applyBorder="1" applyAlignment="1">
      <alignment horizontal="left"/>
    </xf>
    <xf numFmtId="0" fontId="61" fillId="0" borderId="37" xfId="0" applyFont="1" applyBorder="1" applyAlignment="1">
      <alignment horizontal="center"/>
    </xf>
    <xf numFmtId="0" fontId="61" fillId="0" borderId="36" xfId="0" applyFont="1" applyBorder="1" applyAlignment="1">
      <alignment horizontal="center"/>
    </xf>
    <xf numFmtId="0" fontId="61" fillId="0" borderId="5" xfId="0" applyFont="1" applyBorder="1" applyAlignment="1">
      <alignment horizontal="center"/>
    </xf>
    <xf numFmtId="0" fontId="61" fillId="0" borderId="9" xfId="0" applyFont="1" applyBorder="1" applyAlignment="1">
      <alignment horizontal="center" wrapText="1"/>
    </xf>
    <xf numFmtId="0" fontId="61" fillId="0" borderId="22" xfId="0" applyFont="1" applyBorder="1" applyAlignment="1">
      <alignment horizontal="center" wrapText="1"/>
    </xf>
    <xf numFmtId="0" fontId="61" fillId="0" borderId="10" xfId="0" applyFont="1" applyBorder="1" applyAlignment="1">
      <alignment horizontal="center" wrapText="1"/>
    </xf>
    <xf numFmtId="0" fontId="61" fillId="0" borderId="23" xfId="0" applyFont="1" applyBorder="1" applyAlignment="1">
      <alignment horizontal="center" wrapText="1"/>
    </xf>
    <xf numFmtId="0" fontId="61" fillId="0" borderId="24" xfId="0" applyFont="1" applyBorder="1" applyAlignment="1">
      <alignment horizontal="center" wrapText="1"/>
    </xf>
    <xf numFmtId="0" fontId="61" fillId="0" borderId="12" xfId="0" applyFont="1" applyBorder="1" applyAlignment="1">
      <alignment horizontal="center" wrapText="1"/>
    </xf>
    <xf numFmtId="0" fontId="61" fillId="0" borderId="9" xfId="0" applyFont="1" applyBorder="1" applyAlignment="1">
      <alignment horizontal="center" vertical="top" wrapText="1"/>
    </xf>
    <xf numFmtId="0" fontId="61" fillId="0" borderId="22" xfId="0" applyFont="1" applyBorder="1" applyAlignment="1">
      <alignment horizontal="center" vertical="top" wrapText="1"/>
    </xf>
    <xf numFmtId="0" fontId="61" fillId="0" borderId="10" xfId="0" applyFont="1" applyBorder="1" applyAlignment="1">
      <alignment horizontal="center" vertical="top" wrapText="1"/>
    </xf>
    <xf numFmtId="0" fontId="61" fillId="0" borderId="1" xfId="0" applyFont="1" applyBorder="1" applyAlignment="1">
      <alignment horizontal="center" vertical="top" wrapText="1"/>
    </xf>
    <xf numFmtId="0" fontId="61" fillId="0" borderId="0" xfId="0" applyFont="1" applyBorder="1" applyAlignment="1">
      <alignment horizontal="center" vertical="top" wrapText="1"/>
    </xf>
    <xf numFmtId="0" fontId="61" fillId="0" borderId="2" xfId="0" applyFont="1" applyBorder="1" applyAlignment="1">
      <alignment horizontal="center" vertical="top" wrapText="1"/>
    </xf>
    <xf numFmtId="0" fontId="61" fillId="0" borderId="23" xfId="0" applyFont="1" applyBorder="1" applyAlignment="1">
      <alignment horizontal="center" vertical="top" wrapText="1"/>
    </xf>
    <xf numFmtId="0" fontId="61" fillId="0" borderId="24" xfId="0" applyFont="1" applyBorder="1" applyAlignment="1">
      <alignment horizontal="center" vertical="top" wrapText="1"/>
    </xf>
    <xf numFmtId="0" fontId="61" fillId="0" borderId="12" xfId="0" applyFont="1" applyBorder="1" applyAlignment="1">
      <alignment horizontal="center" vertical="top" wrapText="1"/>
    </xf>
    <xf numFmtId="0" fontId="58" fillId="0" borderId="9" xfId="0" applyFont="1" applyBorder="1" applyAlignment="1">
      <alignment horizontal="center" vertical="top" wrapText="1"/>
    </xf>
    <xf numFmtId="0" fontId="58" fillId="0" borderId="22" xfId="0" applyFont="1" applyBorder="1" applyAlignment="1">
      <alignment horizontal="center" vertical="top" wrapText="1"/>
    </xf>
    <xf numFmtId="0" fontId="58" fillId="0" borderId="10" xfId="0" applyFont="1" applyBorder="1" applyAlignment="1">
      <alignment horizontal="center" vertical="top" wrapText="1"/>
    </xf>
    <xf numFmtId="0" fontId="58" fillId="0" borderId="1" xfId="0" applyFont="1" applyBorder="1" applyAlignment="1">
      <alignment horizontal="center" vertical="top" wrapText="1"/>
    </xf>
    <xf numFmtId="0" fontId="58" fillId="0" borderId="0" xfId="0" applyFont="1" applyBorder="1" applyAlignment="1">
      <alignment horizontal="center" vertical="top" wrapText="1"/>
    </xf>
    <xf numFmtId="0" fontId="58" fillId="0" borderId="2" xfId="0" applyFont="1" applyBorder="1" applyAlignment="1">
      <alignment horizontal="center" vertical="top" wrapText="1"/>
    </xf>
    <xf numFmtId="0" fontId="58" fillId="0" borderId="23" xfId="0" applyFont="1" applyBorder="1" applyAlignment="1">
      <alignment horizontal="center" vertical="top" wrapText="1"/>
    </xf>
    <xf numFmtId="0" fontId="58" fillId="0" borderId="24" xfId="0" applyFont="1" applyBorder="1" applyAlignment="1">
      <alignment horizontal="center" vertical="top" wrapText="1"/>
    </xf>
    <xf numFmtId="0" fontId="58" fillId="0" borderId="12" xfId="0" applyFont="1" applyBorder="1" applyAlignment="1">
      <alignment horizontal="center" vertical="top" wrapText="1"/>
    </xf>
    <xf numFmtId="0" fontId="61" fillId="0" borderId="4" xfId="0" applyFont="1" applyBorder="1" applyAlignment="1">
      <alignment horizontal="center" wrapText="1"/>
    </xf>
    <xf numFmtId="0" fontId="61" fillId="0" borderId="37" xfId="0" applyFont="1" applyBorder="1" applyAlignment="1">
      <alignment horizontal="center" wrapText="1"/>
    </xf>
    <xf numFmtId="0" fontId="61" fillId="0" borderId="36" xfId="0" applyFont="1" applyBorder="1" applyAlignment="1">
      <alignment horizontal="center" wrapText="1"/>
    </xf>
    <xf numFmtId="0" fontId="61" fillId="0" borderId="5" xfId="0" applyFont="1" applyBorder="1" applyAlignment="1">
      <alignment horizontal="center" wrapText="1"/>
    </xf>
    <xf numFmtId="0" fontId="61" fillId="0" borderId="24" xfId="0" applyFont="1" applyBorder="1" applyAlignment="1">
      <alignment horizontal="left" vertical="top" wrapText="1"/>
    </xf>
    <xf numFmtId="166" fontId="22" fillId="0" borderId="24" xfId="17" applyNumberFormat="1" applyFont="1" applyFill="1" applyBorder="1" applyAlignment="1">
      <alignment horizontal="center"/>
    </xf>
    <xf numFmtId="0" fontId="61" fillId="0" borderId="9" xfId="0" applyFont="1" applyBorder="1" applyAlignment="1">
      <alignment horizontal="center"/>
    </xf>
    <xf numFmtId="0" fontId="61" fillId="0" borderId="10" xfId="0" applyFont="1" applyBorder="1" applyAlignment="1">
      <alignment horizontal="center"/>
    </xf>
    <xf numFmtId="0" fontId="61" fillId="0" borderId="23" xfId="0" applyFont="1" applyBorder="1" applyAlignment="1">
      <alignment horizontal="center"/>
    </xf>
    <xf numFmtId="0" fontId="61" fillId="0" borderId="12" xfId="0" applyFont="1" applyBorder="1" applyAlignment="1">
      <alignment horizontal="center"/>
    </xf>
    <xf numFmtId="166" fontId="22" fillId="0" borderId="0" xfId="17" applyNumberFormat="1" applyFont="1" applyFill="1" applyBorder="1" applyAlignment="1">
      <alignment horizontal="center"/>
    </xf>
    <xf numFmtId="0" fontId="116" fillId="0" borderId="22" xfId="0" applyFont="1" applyBorder="1" applyAlignment="1">
      <alignment horizontal="left" vertical="top" wrapText="1"/>
    </xf>
    <xf numFmtId="0" fontId="116" fillId="0" borderId="0" xfId="0" applyFont="1" applyBorder="1" applyAlignment="1">
      <alignment horizontal="left" vertical="top" wrapText="1"/>
    </xf>
    <xf numFmtId="166" fontId="115" fillId="0" borderId="22" xfId="17" applyNumberFormat="1" applyFont="1" applyFill="1" applyBorder="1" applyAlignment="1">
      <alignment horizontal="left"/>
    </xf>
    <xf numFmtId="0" fontId="116" fillId="0" borderId="22" xfId="0" applyFont="1" applyBorder="1" applyAlignment="1">
      <alignment horizontal="left" wrapText="1"/>
    </xf>
    <xf numFmtId="0" fontId="116" fillId="0" borderId="0" xfId="0" applyFont="1" applyBorder="1" applyAlignment="1">
      <alignment horizontal="left" wrapText="1"/>
    </xf>
    <xf numFmtId="0" fontId="61" fillId="0" borderId="0" xfId="0" applyFont="1" applyBorder="1" applyAlignment="1">
      <alignment horizontal="center"/>
    </xf>
    <xf numFmtId="0" fontId="98" fillId="0" borderId="22" xfId="0" applyFont="1" applyBorder="1" applyAlignment="1">
      <alignment horizontal="left" wrapText="1"/>
    </xf>
    <xf numFmtId="0" fontId="98" fillId="0" borderId="0" xfId="0" applyFont="1" applyBorder="1" applyAlignment="1">
      <alignment horizontal="left" wrapText="1"/>
    </xf>
    <xf numFmtId="166" fontId="97" fillId="0" borderId="9" xfId="17" applyNumberFormat="1" applyFont="1" applyFill="1" applyBorder="1" applyAlignment="1">
      <alignment horizontal="left"/>
    </xf>
    <xf numFmtId="166" fontId="97" fillId="0" borderId="22" xfId="17" applyNumberFormat="1" applyFont="1" applyFill="1" applyBorder="1" applyAlignment="1">
      <alignment horizontal="left"/>
    </xf>
    <xf numFmtId="166" fontId="115" fillId="0" borderId="9" xfId="17" applyNumberFormat="1" applyFont="1" applyFill="1" applyBorder="1" applyAlignment="1">
      <alignment horizontal="left"/>
    </xf>
    <xf numFmtId="0" fontId="75" fillId="0" borderId="0" xfId="0" applyFont="1" applyBorder="1" applyAlignment="1">
      <alignment horizontal="center" vertical="top" wrapText="1"/>
    </xf>
    <xf numFmtId="0" fontId="75" fillId="0" borderId="2" xfId="0" applyFont="1" applyBorder="1" applyAlignment="1">
      <alignment horizontal="center" vertical="top" wrapText="1"/>
    </xf>
    <xf numFmtId="0" fontId="98" fillId="0" borderId="23" xfId="0" applyFont="1" applyBorder="1" applyAlignment="1">
      <alignment horizontal="left" vertical="top" wrapText="1"/>
    </xf>
    <xf numFmtId="0" fontId="18" fillId="0" borderId="100" xfId="0" applyFont="1" applyBorder="1" applyAlignment="1">
      <alignment horizontal="left" vertical="top" wrapText="1"/>
    </xf>
    <xf numFmtId="0" fontId="18" fillId="0" borderId="103" xfId="0" applyFont="1" applyBorder="1" applyAlignment="1">
      <alignment horizontal="left" vertical="top" wrapText="1"/>
    </xf>
    <xf numFmtId="0" fontId="19" fillId="0" borderId="152" xfId="0" applyFont="1" applyBorder="1" applyAlignment="1">
      <alignment horizontal="center"/>
    </xf>
    <xf numFmtId="0" fontId="19" fillId="0" borderId="165" xfId="0" applyFont="1" applyBorder="1" applyAlignment="1">
      <alignment horizontal="center"/>
    </xf>
    <xf numFmtId="0" fontId="19" fillId="0" borderId="153" xfId="0" applyFont="1" applyBorder="1" applyAlignment="1">
      <alignment horizontal="center"/>
    </xf>
    <xf numFmtId="0" fontId="19" fillId="0" borderId="169" xfId="0" applyFont="1" applyBorder="1" applyAlignment="1">
      <alignment horizontal="center"/>
    </xf>
    <xf numFmtId="0" fontId="18" fillId="0" borderId="153" xfId="0" applyFont="1" applyBorder="1" applyAlignment="1">
      <alignment horizontal="center" vertical="top" wrapText="1"/>
    </xf>
    <xf numFmtId="0" fontId="18" fillId="0" borderId="169" xfId="0" applyFont="1" applyBorder="1" applyAlignment="1">
      <alignment horizontal="center" vertical="top" wrapText="1"/>
    </xf>
    <xf numFmtId="0" fontId="18" fillId="0" borderId="155" xfId="0" applyFont="1" applyBorder="1" applyAlignment="1">
      <alignment horizontal="center" vertical="top" wrapText="1"/>
    </xf>
    <xf numFmtId="0" fontId="18" fillId="0" borderId="170" xfId="0" applyFont="1" applyBorder="1" applyAlignment="1">
      <alignment horizontal="center" vertical="top" wrapText="1"/>
    </xf>
    <xf numFmtId="0" fontId="18" fillId="0" borderId="110" xfId="0" applyFont="1" applyBorder="1" applyAlignment="1">
      <alignment horizontal="left" vertical="top" wrapText="1"/>
    </xf>
    <xf numFmtId="0" fontId="18" fillId="0" borderId="124" xfId="0" applyFont="1" applyBorder="1" applyAlignment="1">
      <alignment horizontal="left" vertical="top" wrapText="1"/>
    </xf>
    <xf numFmtId="0" fontId="18" fillId="0" borderId="104" xfId="0" applyFont="1" applyBorder="1" applyAlignment="1">
      <alignment horizontal="left" vertical="top" wrapText="1"/>
    </xf>
    <xf numFmtId="0" fontId="18" fillId="0" borderId="168" xfId="0" applyFont="1" applyBorder="1" applyAlignment="1">
      <alignment horizontal="left" vertical="top" wrapText="1"/>
    </xf>
    <xf numFmtId="0" fontId="113" fillId="0" borderId="112" xfId="0" applyFont="1" applyBorder="1" applyAlignment="1">
      <alignment horizontal="center" textRotation="90" wrapText="1"/>
    </xf>
    <xf numFmtId="0" fontId="113" fillId="0" borderId="111" xfId="0" applyFont="1" applyBorder="1" applyAlignment="1">
      <alignment horizontal="center" textRotation="90" wrapText="1"/>
    </xf>
    <xf numFmtId="0" fontId="18" fillId="0" borderId="101" xfId="0" applyFont="1" applyBorder="1" applyAlignment="1">
      <alignment horizontal="left" vertical="top" wrapText="1"/>
    </xf>
    <xf numFmtId="0" fontId="18" fillId="0" borderId="102" xfId="0" applyFont="1" applyBorder="1" applyAlignment="1">
      <alignment horizontal="left" vertical="top" wrapText="1"/>
    </xf>
    <xf numFmtId="0" fontId="18" fillId="0" borderId="100" xfId="0" applyFont="1" applyBorder="1" applyAlignment="1">
      <alignment horizontal="center" vertical="center" textRotation="90" wrapText="1"/>
    </xf>
    <xf numFmtId="0" fontId="18" fillId="0" borderId="102" xfId="0" applyFont="1" applyBorder="1" applyAlignment="1">
      <alignment horizontal="center" vertical="center" textRotation="90" wrapText="1"/>
    </xf>
    <xf numFmtId="0" fontId="18" fillId="0" borderId="103" xfId="0" applyFont="1" applyBorder="1" applyAlignment="1">
      <alignment horizontal="center" vertical="center" textRotation="90" wrapText="1"/>
    </xf>
    <xf numFmtId="0" fontId="18" fillId="0" borderId="104" xfId="0" applyFont="1" applyBorder="1" applyAlignment="1">
      <alignment horizontal="center" vertical="center" textRotation="90" wrapText="1"/>
    </xf>
    <xf numFmtId="0" fontId="18" fillId="0" borderId="105" xfId="0" applyFont="1" applyBorder="1" applyAlignment="1">
      <alignment horizontal="center" vertical="center" textRotation="90" wrapText="1"/>
    </xf>
    <xf numFmtId="0" fontId="18" fillId="0" borderId="107" xfId="0" applyFont="1" applyBorder="1" applyAlignment="1">
      <alignment horizontal="center" vertical="center" textRotation="90" wrapText="1"/>
    </xf>
    <xf numFmtId="0" fontId="18" fillId="0" borderId="182" xfId="0" applyFont="1" applyBorder="1" applyAlignment="1">
      <alignment horizontal="center" vertical="center" textRotation="90" wrapText="1"/>
    </xf>
    <xf numFmtId="0" fontId="18" fillId="0" borderId="1" xfId="0" applyFont="1" applyBorder="1" applyAlignment="1">
      <alignment horizontal="center" vertical="center" textRotation="90" wrapText="1"/>
    </xf>
    <xf numFmtId="0" fontId="18" fillId="0" borderId="139" xfId="0" applyFont="1" applyBorder="1" applyAlignment="1">
      <alignment horizontal="center" vertical="center" textRotation="90" wrapText="1"/>
    </xf>
    <xf numFmtId="0" fontId="18" fillId="0" borderId="186" xfId="0" applyFont="1" applyBorder="1" applyAlignment="1">
      <alignment horizontal="center" vertical="top" wrapText="1"/>
    </xf>
    <xf numFmtId="0" fontId="18" fillId="0" borderId="112" xfId="0" applyFont="1" applyBorder="1" applyAlignment="1">
      <alignment horizontal="center" vertical="center" textRotation="90" wrapText="1"/>
    </xf>
    <xf numFmtId="0" fontId="18" fillId="0" borderId="111" xfId="0" applyFont="1" applyBorder="1" applyAlignment="1">
      <alignment horizontal="center" vertical="center" textRotation="90" wrapText="1"/>
    </xf>
    <xf numFmtId="166" fontId="22" fillId="2" borderId="138" xfId="17" applyNumberFormat="1" applyFont="1" applyFill="1" applyBorder="1" applyAlignment="1">
      <alignment horizontal="center" vertical="top"/>
    </xf>
    <xf numFmtId="166" fontId="22" fillId="2" borderId="177" xfId="17" applyNumberFormat="1" applyFont="1" applyFill="1" applyBorder="1" applyAlignment="1">
      <alignment horizontal="center" vertical="top"/>
    </xf>
    <xf numFmtId="166" fontId="22" fillId="2" borderId="178" xfId="17" applyNumberFormat="1" applyFont="1" applyFill="1" applyBorder="1" applyAlignment="1">
      <alignment horizontal="center" vertical="top"/>
    </xf>
    <xf numFmtId="166" fontId="22" fillId="2" borderId="163" xfId="17" applyNumberFormat="1" applyFont="1" applyFill="1" applyBorder="1" applyAlignment="1">
      <alignment horizontal="center" vertical="top"/>
    </xf>
    <xf numFmtId="166" fontId="22" fillId="2" borderId="166" xfId="17" applyNumberFormat="1" applyFont="1" applyFill="1" applyBorder="1" applyAlignment="1">
      <alignment horizontal="center" vertical="top"/>
    </xf>
    <xf numFmtId="166" fontId="22" fillId="2" borderId="124" xfId="17" applyNumberFormat="1" applyFont="1" applyFill="1" applyBorder="1" applyAlignment="1">
      <alignment horizontal="center" vertical="top"/>
    </xf>
    <xf numFmtId="0" fontId="18" fillId="0" borderId="100" xfId="0" applyFont="1" applyBorder="1" applyAlignment="1">
      <alignment horizontal="center" vertical="center" textRotation="90"/>
    </xf>
    <xf numFmtId="0" fontId="18" fillId="0" borderId="102" xfId="0" applyFont="1" applyBorder="1" applyAlignment="1">
      <alignment horizontal="center" vertical="center" textRotation="90"/>
    </xf>
    <xf numFmtId="0" fontId="18" fillId="0" borderId="103" xfId="0" applyFont="1" applyBorder="1" applyAlignment="1">
      <alignment horizontal="center" vertical="center" textRotation="90"/>
    </xf>
    <xf numFmtId="0" fontId="18" fillId="0" borderId="104" xfId="0" applyFont="1" applyBorder="1" applyAlignment="1">
      <alignment horizontal="center" vertical="center" textRotation="90"/>
    </xf>
    <xf numFmtId="0" fontId="18" fillId="0" borderId="101" xfId="0" applyFont="1" applyBorder="1" applyAlignment="1">
      <alignment horizontal="center" vertical="center" textRotation="90"/>
    </xf>
    <xf numFmtId="0" fontId="18" fillId="0" borderId="0" xfId="0" applyFont="1" applyBorder="1" applyAlignment="1">
      <alignment horizontal="center" vertical="center" textRotation="90"/>
    </xf>
    <xf numFmtId="166" fontId="22" fillId="2" borderId="188" xfId="17" applyNumberFormat="1" applyFont="1" applyFill="1" applyBorder="1" applyAlignment="1">
      <alignment horizontal="center" vertical="top"/>
    </xf>
    <xf numFmtId="166" fontId="22" fillId="2" borderId="161" xfId="17" applyNumberFormat="1" applyFont="1" applyFill="1" applyBorder="1" applyAlignment="1">
      <alignment horizontal="center" vertical="top"/>
    </xf>
    <xf numFmtId="166" fontId="22" fillId="2" borderId="181" xfId="17" applyNumberFormat="1" applyFont="1" applyFill="1" applyBorder="1" applyAlignment="1">
      <alignment horizontal="center" vertical="top"/>
    </xf>
    <xf numFmtId="166" fontId="22" fillId="2" borderId="162" xfId="17" applyNumberFormat="1" applyFont="1" applyFill="1" applyBorder="1" applyAlignment="1">
      <alignment horizontal="center" vertical="top"/>
    </xf>
    <xf numFmtId="0" fontId="18" fillId="0" borderId="159" xfId="0" applyFont="1" applyBorder="1" applyAlignment="1">
      <alignment horizontal="left" vertical="top" wrapText="1"/>
    </xf>
    <xf numFmtId="0" fontId="18" fillId="0" borderId="108" xfId="0" applyFont="1" applyBorder="1" applyAlignment="1">
      <alignment horizontal="left" vertical="top" wrapText="1"/>
    </xf>
    <xf numFmtId="0" fontId="18" fillId="0" borderId="163" xfId="0" applyFont="1" applyBorder="1" applyAlignment="1">
      <alignment horizontal="left" vertical="top" wrapText="1"/>
    </xf>
    <xf numFmtId="0" fontId="18" fillId="0" borderId="166" xfId="0" applyFont="1" applyBorder="1" applyAlignment="1">
      <alignment horizontal="left" vertical="top" wrapText="1"/>
    </xf>
    <xf numFmtId="0" fontId="18" fillId="0" borderId="171" xfId="0" applyFont="1" applyBorder="1" applyAlignment="1">
      <alignment horizontal="left" vertical="top" wrapText="1"/>
    </xf>
    <xf numFmtId="0" fontId="18" fillId="0" borderId="164" xfId="0" applyFont="1" applyBorder="1" applyAlignment="1">
      <alignment horizontal="left" vertical="top" wrapText="1"/>
    </xf>
    <xf numFmtId="0" fontId="18" fillId="0" borderId="182" xfId="0" applyFont="1" applyBorder="1" applyAlignment="1">
      <alignment horizontal="left" vertical="top" wrapText="1"/>
    </xf>
    <xf numFmtId="0" fontId="18" fillId="0" borderId="187" xfId="0" applyFont="1" applyBorder="1" applyAlignment="1">
      <alignment horizontal="left" vertical="top" wrapText="1"/>
    </xf>
    <xf numFmtId="0" fontId="113" fillId="0" borderId="127" xfId="0" applyFont="1" applyBorder="1" applyAlignment="1">
      <alignment horizontal="center" textRotation="90" wrapText="1"/>
    </xf>
    <xf numFmtId="0" fontId="113" fillId="0" borderId="129" xfId="0" applyFont="1" applyBorder="1" applyAlignment="1">
      <alignment horizontal="center" textRotation="90" wrapText="1"/>
    </xf>
    <xf numFmtId="0" fontId="113" fillId="0" borderId="108" xfId="0" applyFont="1" applyBorder="1" applyAlignment="1">
      <alignment horizontal="center" textRotation="90" wrapText="1"/>
    </xf>
    <xf numFmtId="0" fontId="113" fillId="0" borderId="128" xfId="0" applyFont="1" applyBorder="1" applyAlignment="1">
      <alignment horizontal="center" textRotation="90" wrapText="1"/>
    </xf>
    <xf numFmtId="0" fontId="18" fillId="0" borderId="0" xfId="0" applyFont="1" applyAlignment="1">
      <alignment horizontal="left" vertical="top" wrapText="1"/>
    </xf>
    <xf numFmtId="0" fontId="22" fillId="0" borderId="44" xfId="0" applyFont="1" applyBorder="1" applyAlignment="1">
      <alignment horizontal="center" vertical="top"/>
    </xf>
    <xf numFmtId="0" fontId="22" fillId="0" borderId="46" xfId="0" applyFont="1" applyBorder="1" applyAlignment="1">
      <alignment horizontal="center" vertical="top"/>
    </xf>
    <xf numFmtId="0" fontId="22" fillId="0" borderId="154" xfId="0" applyFont="1" applyBorder="1" applyAlignment="1">
      <alignment horizontal="center" vertical="top"/>
    </xf>
    <xf numFmtId="0" fontId="22" fillId="0" borderId="185" xfId="0" applyFont="1" applyBorder="1" applyAlignment="1">
      <alignment horizontal="center" vertical="top" wrapText="1"/>
    </xf>
    <xf numFmtId="0" fontId="22" fillId="0" borderId="189" xfId="0" applyFont="1" applyBorder="1" applyAlignment="1">
      <alignment horizontal="center" vertical="top" wrapText="1"/>
    </xf>
    <xf numFmtId="0" fontId="22" fillId="0" borderId="179" xfId="0" applyFont="1" applyBorder="1" applyAlignment="1">
      <alignment horizontal="center" vertical="top" wrapText="1"/>
    </xf>
    <xf numFmtId="0" fontId="22" fillId="0" borderId="190" xfId="0" applyFont="1" applyBorder="1" applyAlignment="1">
      <alignment horizontal="center" vertical="top" wrapText="1"/>
    </xf>
    <xf numFmtId="0" fontId="113" fillId="0" borderId="168" xfId="0" applyFont="1" applyBorder="1" applyAlignment="1">
      <alignment horizontal="center" vertical="center" textRotation="90" wrapText="1"/>
    </xf>
    <xf numFmtId="0" fontId="113" fillId="0" borderId="3" xfId="0" applyFont="1" applyBorder="1" applyAlignment="1">
      <alignment horizontal="center" vertical="center" textRotation="90" wrapText="1"/>
    </xf>
    <xf numFmtId="0" fontId="113" fillId="0" borderId="99" xfId="0" applyFont="1" applyBorder="1" applyAlignment="1">
      <alignment horizontal="center" vertical="center" textRotation="90" wrapText="1"/>
    </xf>
    <xf numFmtId="166" fontId="22" fillId="2" borderId="183" xfId="17" applyNumberFormat="1" applyFont="1" applyFill="1" applyBorder="1" applyAlignment="1">
      <alignment horizontal="center" vertical="top"/>
    </xf>
    <xf numFmtId="0" fontId="18" fillId="0" borderId="167" xfId="0" applyFont="1" applyBorder="1" applyAlignment="1">
      <alignment horizontal="left" vertical="top" wrapText="1"/>
    </xf>
    <xf numFmtId="0" fontId="113" fillId="0" borderId="1" xfId="0" applyFont="1" applyBorder="1" applyAlignment="1">
      <alignment horizontal="center"/>
    </xf>
    <xf numFmtId="0" fontId="113" fillId="0" borderId="0" xfId="0" applyFont="1" applyBorder="1" applyAlignment="1">
      <alignment horizontal="center"/>
    </xf>
    <xf numFmtId="0" fontId="113" fillId="0" borderId="171" xfId="0" applyFont="1" applyBorder="1" applyAlignment="1">
      <alignment horizontal="center"/>
    </xf>
    <xf numFmtId="0" fontId="113" fillId="0" borderId="164" xfId="0" applyFont="1" applyBorder="1" applyAlignment="1">
      <alignment horizontal="center"/>
    </xf>
    <xf numFmtId="0" fontId="113" fillId="0" borderId="0" xfId="0" applyFont="1" applyBorder="1" applyAlignment="1">
      <alignment horizontal="center" wrapText="1"/>
    </xf>
    <xf numFmtId="0" fontId="113" fillId="0" borderId="164" xfId="0" applyFont="1" applyBorder="1" applyAlignment="1">
      <alignment horizontal="center" wrapText="1"/>
    </xf>
    <xf numFmtId="0" fontId="18" fillId="0" borderId="186" xfId="0" applyFont="1" applyBorder="1" applyAlignment="1">
      <alignment horizontal="left" vertical="top" wrapText="1"/>
    </xf>
    <xf numFmtId="0" fontId="18" fillId="0" borderId="142" xfId="0" applyFont="1" applyBorder="1" applyAlignment="1">
      <alignment horizontal="center" vertical="top" wrapText="1"/>
    </xf>
    <xf numFmtId="0" fontId="18" fillId="0" borderId="103" xfId="0" applyFont="1" applyBorder="1" applyAlignment="1">
      <alignment horizontal="center" textRotation="90"/>
    </xf>
    <xf numFmtId="0" fontId="18" fillId="0" borderId="105" xfId="0" applyFont="1" applyBorder="1" applyAlignment="1">
      <alignment horizontal="center" textRotation="90"/>
    </xf>
    <xf numFmtId="0" fontId="18" fillId="0" borderId="112" xfId="0" applyFont="1" applyBorder="1" applyAlignment="1">
      <alignment horizontal="center" textRotation="90"/>
    </xf>
    <xf numFmtId="0" fontId="18" fillId="0" borderId="111" xfId="0" applyFont="1" applyBorder="1" applyAlignment="1">
      <alignment horizontal="center" textRotation="90"/>
    </xf>
    <xf numFmtId="0" fontId="18" fillId="0" borderId="104" xfId="0" applyFont="1" applyBorder="1" applyAlignment="1">
      <alignment horizontal="center" textRotation="90"/>
    </xf>
    <xf numFmtId="0" fontId="18" fillId="0" borderId="107" xfId="0" applyFont="1" applyBorder="1" applyAlignment="1">
      <alignment horizontal="center" textRotation="90"/>
    </xf>
    <xf numFmtId="0" fontId="18" fillId="0" borderId="158" xfId="0" applyFont="1" applyBorder="1" applyAlignment="1">
      <alignment horizontal="center"/>
    </xf>
    <xf numFmtId="0" fontId="18" fillId="0" borderId="109" xfId="0" applyFont="1" applyBorder="1" applyAlignment="1">
      <alignment horizontal="center"/>
    </xf>
    <xf numFmtId="0" fontId="18" fillId="0" borderId="153" xfId="0" applyFont="1" applyBorder="1" applyAlignment="1">
      <alignment horizontal="center"/>
    </xf>
    <xf numFmtId="0" fontId="18" fillId="0" borderId="6" xfId="0" applyFont="1" applyBorder="1" applyAlignment="1">
      <alignment horizontal="center"/>
    </xf>
    <xf numFmtId="0" fontId="2" fillId="0" borderId="37" xfId="17" applyFont="1" applyBorder="1" applyAlignment="1">
      <alignment horizontal="center"/>
    </xf>
    <xf numFmtId="0" fontId="2" fillId="0" borderId="36" xfId="17" applyFont="1" applyBorder="1" applyAlignment="1">
      <alignment horizontal="center"/>
    </xf>
    <xf numFmtId="0" fontId="2" fillId="0" borderId="5" xfId="17" applyFont="1" applyBorder="1" applyAlignment="1">
      <alignment horizontal="center"/>
    </xf>
  </cellXfs>
  <cellStyles count="19">
    <cellStyle name="Answer Codes" xfId="1" xr:uid="{00000000-0005-0000-0000-000000000000}"/>
    <cellStyle name="Comma" xfId="2" builtinId="3"/>
    <cellStyle name="Comma 2" xfId="3" xr:uid="{00000000-0005-0000-0000-000002000000}"/>
    <cellStyle name="Comma 3" xfId="4" xr:uid="{00000000-0005-0000-0000-000003000000}"/>
    <cellStyle name="Comma 4" xfId="5" xr:uid="{00000000-0005-0000-0000-000004000000}"/>
    <cellStyle name="Comma 5" xfId="6" xr:uid="{00000000-0005-0000-0000-000005000000}"/>
    <cellStyle name="Euro" xfId="7" xr:uid="{00000000-0005-0000-0000-000006000000}"/>
    <cellStyle name="Euro 2" xfId="8" xr:uid="{00000000-0005-0000-0000-000007000000}"/>
    <cellStyle name="Module title" xfId="9" xr:uid="{00000000-0005-0000-0000-000008000000}"/>
    <cellStyle name="Normal" xfId="0" builtinId="0"/>
    <cellStyle name="Normal 2" xfId="10" xr:uid="{00000000-0005-0000-0000-00000A000000}"/>
    <cellStyle name="Normal 2 2" xfId="11" xr:uid="{00000000-0005-0000-0000-00000B000000}"/>
    <cellStyle name="Normal 4" xfId="12" xr:uid="{00000000-0005-0000-0000-00000C000000}"/>
    <cellStyle name="Normal 5" xfId="13" xr:uid="{00000000-0005-0000-0000-00000D000000}"/>
    <cellStyle name="Normal_Consumption" xfId="14" xr:uid="{00000000-0005-0000-0000-00000E000000}"/>
    <cellStyle name="Normal_Okam_2006_V02_Eng 2" xfId="15" xr:uid="{00000000-0005-0000-0000-00000F000000}"/>
    <cellStyle name="Normal_Part E" xfId="16" xr:uid="{00000000-0005-0000-0000-000010000000}"/>
    <cellStyle name="Normal_qst2001_provisoire" xfId="17" xr:uid="{00000000-0005-0000-0000-000011000000}"/>
    <cellStyle name="Questions &amp; instructions" xfId="18" xr:uid="{00000000-0005-0000-0000-00001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twoCellAnchor>
    <xdr:from>
      <xdr:col>8</xdr:col>
      <xdr:colOff>63046</xdr:colOff>
      <xdr:row>5</xdr:row>
      <xdr:rowOff>190500</xdr:rowOff>
    </xdr:from>
    <xdr:to>
      <xdr:col>10</xdr:col>
      <xdr:colOff>60165</xdr:colOff>
      <xdr:row>12</xdr:row>
      <xdr:rowOff>0</xdr:rowOff>
    </xdr:to>
    <xdr:sp macro="" textlink="">
      <xdr:nvSpPr>
        <xdr:cNvPr id="3492485" name="WordArt 2">
          <a:extLst>
            <a:ext uri="{FF2B5EF4-FFF2-40B4-BE49-F238E27FC236}">
              <a16:creationId xmlns:a16="http://schemas.microsoft.com/office/drawing/2014/main" id="{5F54084C-77F1-4777-8412-D59EBB08D4EF}"/>
            </a:ext>
          </a:extLst>
        </xdr:cNvPr>
        <xdr:cNvSpPr>
          <a:spLocks noChangeArrowheads="1" noChangeShapeType="1" noTextEdit="1"/>
        </xdr:cNvSpPr>
      </xdr:nvSpPr>
      <xdr:spPr bwMode="auto">
        <a:xfrm>
          <a:off x="1701800" y="2679700"/>
          <a:ext cx="406400" cy="0"/>
        </a:xfrm>
        <a:prstGeom prst="rect">
          <a:avLst/>
        </a:prstGeom>
      </xdr:spPr>
      <xdr:txBody>
        <a:bodyPr vertOverflow="clip" wrap="none" lIns="91440" tIns="45720" rIns="91440" bIns="45720" fromWordArt="1" anchor="t">
          <a:prstTxWarp prst="textArchUpPour">
            <a:avLst>
              <a:gd name="adj1" fmla="val 0"/>
              <a:gd name="adj2" fmla="val -2147483648"/>
            </a:avLst>
          </a:prstTxWarp>
        </a:bodyPr>
        <a:lstStyle/>
        <a:p>
          <a:pPr algn="ctr" rtl="0">
            <a:buNone/>
          </a:pPr>
          <a:endParaRPr lang="en-US" sz="3600" u="sng" strike="sngStrike" kern="10" cap="small" spc="-180">
            <a:ln w="9525">
              <a:solidFill>
                <a:srgbClr val="000000"/>
              </a:solidFill>
              <a:round/>
              <a:headEnd/>
              <a:tailEnd/>
            </a:ln>
            <a:solidFill>
              <a:srgbClr val="FFFFFF"/>
            </a:solidFill>
            <a:latin typeface="Arial Black" panose="020B0604020202020204" pitchFamily="34" charset="0"/>
            <a:cs typeface="Arial Black" panose="020B0604020202020204" pitchFamily="34" charset="0"/>
          </a:endParaRPr>
        </a:p>
      </xdr:txBody>
    </xdr:sp>
    <xdr:clientData/>
  </xdr:twoCellAnchor>
  <xdr:twoCellAnchor>
    <xdr:from>
      <xdr:col>8</xdr:col>
      <xdr:colOff>63046</xdr:colOff>
      <xdr:row>5</xdr:row>
      <xdr:rowOff>190500</xdr:rowOff>
    </xdr:from>
    <xdr:to>
      <xdr:col>10</xdr:col>
      <xdr:colOff>60165</xdr:colOff>
      <xdr:row>12</xdr:row>
      <xdr:rowOff>0</xdr:rowOff>
    </xdr:to>
    <xdr:sp macro="" textlink="">
      <xdr:nvSpPr>
        <xdr:cNvPr id="3492487" name="WordArt 4">
          <a:extLst>
            <a:ext uri="{FF2B5EF4-FFF2-40B4-BE49-F238E27FC236}">
              <a16:creationId xmlns:a16="http://schemas.microsoft.com/office/drawing/2014/main" id="{94532D7B-419C-4F91-9087-1D08ACF52DC5}"/>
            </a:ext>
          </a:extLst>
        </xdr:cNvPr>
        <xdr:cNvSpPr>
          <a:spLocks noChangeArrowheads="1" noChangeShapeType="1" noTextEdit="1"/>
        </xdr:cNvSpPr>
      </xdr:nvSpPr>
      <xdr:spPr bwMode="auto">
        <a:xfrm>
          <a:off x="1701800" y="2679700"/>
          <a:ext cx="406400" cy="0"/>
        </a:xfrm>
        <a:prstGeom prst="rect">
          <a:avLst/>
        </a:prstGeom>
      </xdr:spPr>
      <xdr:txBody>
        <a:bodyPr vertOverflow="clip" wrap="none" lIns="91440" tIns="45720" rIns="91440" bIns="45720" fromWordArt="1" anchor="t">
          <a:prstTxWarp prst="textArchUpPour">
            <a:avLst>
              <a:gd name="adj1" fmla="val 0"/>
              <a:gd name="adj2" fmla="val -2147483648"/>
            </a:avLst>
          </a:prstTxWarp>
        </a:bodyPr>
        <a:lstStyle/>
        <a:p>
          <a:pPr algn="ctr" rtl="0">
            <a:buNone/>
          </a:pPr>
          <a:endParaRPr lang="en-US" sz="3600" u="sng" strike="sngStrike" kern="10" cap="small" spc="-180">
            <a:ln w="9525">
              <a:solidFill>
                <a:srgbClr val="000000"/>
              </a:solidFill>
              <a:round/>
              <a:headEnd/>
              <a:tailEnd/>
            </a:ln>
            <a:solidFill>
              <a:srgbClr val="FFFFFF"/>
            </a:solidFill>
            <a:latin typeface="Arial Black" panose="020B0604020202020204" pitchFamily="34" charset="0"/>
            <a:cs typeface="Arial Black"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276225</xdr:colOff>
      <xdr:row>1</xdr:row>
      <xdr:rowOff>171450</xdr:rowOff>
    </xdr:from>
    <xdr:to>
      <xdr:col>3</xdr:col>
      <xdr:colOff>571500</xdr:colOff>
      <xdr:row>2</xdr:row>
      <xdr:rowOff>333375</xdr:rowOff>
    </xdr:to>
    <xdr:sp macro="" textlink="">
      <xdr:nvSpPr>
        <xdr:cNvPr id="4461011" name="Rectangle 1">
          <a:extLst>
            <a:ext uri="{FF2B5EF4-FFF2-40B4-BE49-F238E27FC236}">
              <a16:creationId xmlns:a16="http://schemas.microsoft.com/office/drawing/2014/main" id="{75EF6801-2A5C-4921-9E1D-067E5F739EE7}"/>
            </a:ext>
          </a:extLst>
        </xdr:cNvPr>
        <xdr:cNvSpPr>
          <a:spLocks noChangeArrowheads="1"/>
        </xdr:cNvSpPr>
      </xdr:nvSpPr>
      <xdr:spPr bwMode="auto">
        <a:xfrm>
          <a:off x="4562475" y="342900"/>
          <a:ext cx="295275" cy="333375"/>
        </a:xfrm>
        <a:prstGeom prst="rect">
          <a:avLst/>
        </a:prstGeom>
        <a:solidFill>
          <a:srgbClr val="FFFFFF"/>
        </a:solidFill>
        <a:ln w="9525" algn="ctr">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504825</xdr:colOff>
      <xdr:row>0</xdr:row>
      <xdr:rowOff>123825</xdr:rowOff>
    </xdr:from>
    <xdr:to>
      <xdr:col>7</xdr:col>
      <xdr:colOff>361950</xdr:colOff>
      <xdr:row>2</xdr:row>
      <xdr:rowOff>38100</xdr:rowOff>
    </xdr:to>
    <xdr:grpSp>
      <xdr:nvGrpSpPr>
        <xdr:cNvPr id="4600185" name="Group 310">
          <a:extLst>
            <a:ext uri="{FF2B5EF4-FFF2-40B4-BE49-F238E27FC236}">
              <a16:creationId xmlns:a16="http://schemas.microsoft.com/office/drawing/2014/main" id="{2FF5CD0C-E98C-41C4-A9F3-E961A13D494D}"/>
            </a:ext>
          </a:extLst>
        </xdr:cNvPr>
        <xdr:cNvGrpSpPr>
          <a:grpSpLocks/>
        </xdr:cNvGrpSpPr>
      </xdr:nvGrpSpPr>
      <xdr:grpSpPr bwMode="auto">
        <a:xfrm>
          <a:off x="5330825" y="123825"/>
          <a:ext cx="1042458" cy="237067"/>
          <a:chOff x="292" y="235"/>
          <a:chExt cx="53" cy="31"/>
        </a:xfrm>
      </xdr:grpSpPr>
      <xdr:sp macro="" textlink="">
        <xdr:nvSpPr>
          <xdr:cNvPr id="4600186" name="Rectangle 1">
            <a:extLst>
              <a:ext uri="{FF2B5EF4-FFF2-40B4-BE49-F238E27FC236}">
                <a16:creationId xmlns:a16="http://schemas.microsoft.com/office/drawing/2014/main" id="{4686FB94-42DB-4EAC-A673-F60F0315CE2B}"/>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4600187" name="Rectangle 1">
            <a:extLst>
              <a:ext uri="{FF2B5EF4-FFF2-40B4-BE49-F238E27FC236}">
                <a16:creationId xmlns:a16="http://schemas.microsoft.com/office/drawing/2014/main" id="{3C044978-6A54-4A53-8459-F0BDCE45B12E}"/>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19050</xdr:colOff>
      <xdr:row>1</xdr:row>
      <xdr:rowOff>209550</xdr:rowOff>
    </xdr:from>
    <xdr:to>
      <xdr:col>16</xdr:col>
      <xdr:colOff>28575</xdr:colOff>
      <xdr:row>3</xdr:row>
      <xdr:rowOff>76200</xdr:rowOff>
    </xdr:to>
    <xdr:sp macro="" textlink="">
      <xdr:nvSpPr>
        <xdr:cNvPr id="4463059" name="Rectangle 1">
          <a:extLst>
            <a:ext uri="{FF2B5EF4-FFF2-40B4-BE49-F238E27FC236}">
              <a16:creationId xmlns:a16="http://schemas.microsoft.com/office/drawing/2014/main" id="{74D947EB-3D1F-4949-9FFB-4CB5B36D0EFB}"/>
            </a:ext>
          </a:extLst>
        </xdr:cNvPr>
        <xdr:cNvSpPr>
          <a:spLocks noChangeArrowheads="1"/>
        </xdr:cNvSpPr>
      </xdr:nvSpPr>
      <xdr:spPr bwMode="auto">
        <a:xfrm>
          <a:off x="7200900" y="419100"/>
          <a:ext cx="342900" cy="28575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0</xdr:colOff>
      <xdr:row>5</xdr:row>
      <xdr:rowOff>104775</xdr:rowOff>
    </xdr:from>
    <xdr:to>
      <xdr:col>13</xdr:col>
      <xdr:colOff>114300</xdr:colOff>
      <xdr:row>7</xdr:row>
      <xdr:rowOff>66675</xdr:rowOff>
    </xdr:to>
    <xdr:sp macro="" textlink="">
      <xdr:nvSpPr>
        <xdr:cNvPr id="4645202" name="Rectangle 1">
          <a:extLst>
            <a:ext uri="{FF2B5EF4-FFF2-40B4-BE49-F238E27FC236}">
              <a16:creationId xmlns:a16="http://schemas.microsoft.com/office/drawing/2014/main" id="{0053CC7D-FEB6-470E-AE42-541F39D42101}"/>
            </a:ext>
          </a:extLst>
        </xdr:cNvPr>
        <xdr:cNvSpPr>
          <a:spLocks noChangeArrowheads="1"/>
        </xdr:cNvSpPr>
      </xdr:nvSpPr>
      <xdr:spPr bwMode="auto">
        <a:xfrm>
          <a:off x="3076575" y="990600"/>
          <a:ext cx="361950" cy="304800"/>
        </a:xfrm>
        <a:prstGeom prst="rect">
          <a:avLst/>
        </a:prstGeom>
        <a:solidFill>
          <a:srgbClr val="FFFFFF"/>
        </a:solidFill>
        <a:ln w="9525" algn="ctr">
          <a:solidFill>
            <a:srgbClr val="000000"/>
          </a:solidFill>
          <a:round/>
          <a:headEnd/>
          <a:tailEnd/>
        </a:ln>
      </xdr:spPr>
    </xdr:sp>
    <xdr:clientData/>
  </xdr:twoCellAnchor>
  <xdr:twoCellAnchor>
    <xdr:from>
      <xdr:col>9</xdr:col>
      <xdr:colOff>171450</xdr:colOff>
      <xdr:row>8</xdr:row>
      <xdr:rowOff>171450</xdr:rowOff>
    </xdr:from>
    <xdr:to>
      <xdr:col>11</xdr:col>
      <xdr:colOff>38100</xdr:colOff>
      <xdr:row>10</xdr:row>
      <xdr:rowOff>123825</xdr:rowOff>
    </xdr:to>
    <xdr:sp macro="" textlink="">
      <xdr:nvSpPr>
        <xdr:cNvPr id="4645203" name="Rectangle 3">
          <a:extLst>
            <a:ext uri="{FF2B5EF4-FFF2-40B4-BE49-F238E27FC236}">
              <a16:creationId xmlns:a16="http://schemas.microsoft.com/office/drawing/2014/main" id="{053A3677-D73C-4C7A-95FE-81A4AFCC24DB}"/>
            </a:ext>
          </a:extLst>
        </xdr:cNvPr>
        <xdr:cNvSpPr>
          <a:spLocks noChangeArrowheads="1"/>
        </xdr:cNvSpPr>
      </xdr:nvSpPr>
      <xdr:spPr bwMode="auto">
        <a:xfrm>
          <a:off x="2505075" y="1571625"/>
          <a:ext cx="361950" cy="295275"/>
        </a:xfrm>
        <a:prstGeom prst="rect">
          <a:avLst/>
        </a:prstGeom>
        <a:solidFill>
          <a:srgbClr val="FFFFFF"/>
        </a:solidFill>
        <a:ln w="9525" algn="ctr">
          <a:solidFill>
            <a:srgbClr val="000000"/>
          </a:solidFill>
          <a:round/>
          <a:headEnd/>
          <a:tailEnd/>
        </a:ln>
      </xdr:spPr>
    </xdr:sp>
    <xdr:clientData/>
  </xdr:twoCellAnchor>
  <xdr:twoCellAnchor>
    <xdr:from>
      <xdr:col>11</xdr:col>
      <xdr:colOff>76200</xdr:colOff>
      <xdr:row>8</xdr:row>
      <xdr:rowOff>171450</xdr:rowOff>
    </xdr:from>
    <xdr:to>
      <xdr:col>12</xdr:col>
      <xdr:colOff>190500</xdr:colOff>
      <xdr:row>10</xdr:row>
      <xdr:rowOff>123825</xdr:rowOff>
    </xdr:to>
    <xdr:sp macro="" textlink="">
      <xdr:nvSpPr>
        <xdr:cNvPr id="4645204" name="Rectangle 4">
          <a:extLst>
            <a:ext uri="{FF2B5EF4-FFF2-40B4-BE49-F238E27FC236}">
              <a16:creationId xmlns:a16="http://schemas.microsoft.com/office/drawing/2014/main" id="{7DA9DD4B-6F6D-45D1-AEDD-77D1E634D853}"/>
            </a:ext>
          </a:extLst>
        </xdr:cNvPr>
        <xdr:cNvSpPr>
          <a:spLocks noChangeArrowheads="1"/>
        </xdr:cNvSpPr>
      </xdr:nvSpPr>
      <xdr:spPr bwMode="auto">
        <a:xfrm>
          <a:off x="2905125" y="1571625"/>
          <a:ext cx="361950" cy="295275"/>
        </a:xfrm>
        <a:prstGeom prst="rect">
          <a:avLst/>
        </a:prstGeom>
        <a:solidFill>
          <a:srgbClr val="FFFFFF"/>
        </a:solidFill>
        <a:ln w="9525" algn="ctr">
          <a:solidFill>
            <a:srgbClr val="000000"/>
          </a:solidFill>
          <a:round/>
          <a:headEnd/>
          <a:tailEnd/>
        </a:ln>
      </xdr:spPr>
    </xdr:sp>
    <xdr:clientData/>
  </xdr:twoCellAnchor>
  <xdr:twoCellAnchor>
    <xdr:from>
      <xdr:col>12</xdr:col>
      <xdr:colOff>9525</xdr:colOff>
      <xdr:row>13</xdr:row>
      <xdr:rowOff>104775</xdr:rowOff>
    </xdr:from>
    <xdr:to>
      <xdr:col>13</xdr:col>
      <xdr:colOff>123825</xdr:colOff>
      <xdr:row>15</xdr:row>
      <xdr:rowOff>66675</xdr:rowOff>
    </xdr:to>
    <xdr:sp macro="" textlink="">
      <xdr:nvSpPr>
        <xdr:cNvPr id="4645205" name="Rectangle 5">
          <a:extLst>
            <a:ext uri="{FF2B5EF4-FFF2-40B4-BE49-F238E27FC236}">
              <a16:creationId xmlns:a16="http://schemas.microsoft.com/office/drawing/2014/main" id="{D11241BE-8694-422F-8828-66FE1D84F987}"/>
            </a:ext>
          </a:extLst>
        </xdr:cNvPr>
        <xdr:cNvSpPr>
          <a:spLocks noChangeArrowheads="1"/>
        </xdr:cNvSpPr>
      </xdr:nvSpPr>
      <xdr:spPr bwMode="auto">
        <a:xfrm>
          <a:off x="3086100" y="2362200"/>
          <a:ext cx="361950" cy="304800"/>
        </a:xfrm>
        <a:prstGeom prst="rect">
          <a:avLst/>
        </a:prstGeom>
        <a:solidFill>
          <a:srgbClr val="FFFFFF"/>
        </a:solidFill>
        <a:ln w="9525" algn="ctr">
          <a:solidFill>
            <a:srgbClr val="000000"/>
          </a:solidFill>
          <a:round/>
          <a:headEnd/>
          <a:tailEnd/>
        </a:ln>
      </xdr:spPr>
    </xdr:sp>
    <xdr:clientData/>
  </xdr:twoCellAnchor>
  <xdr:twoCellAnchor>
    <xdr:from>
      <xdr:col>12</xdr:col>
      <xdr:colOff>0</xdr:colOff>
      <xdr:row>22</xdr:row>
      <xdr:rowOff>104775</xdr:rowOff>
    </xdr:from>
    <xdr:to>
      <xdr:col>13</xdr:col>
      <xdr:colOff>114300</xdr:colOff>
      <xdr:row>24</xdr:row>
      <xdr:rowOff>57150</xdr:rowOff>
    </xdr:to>
    <xdr:sp macro="" textlink="">
      <xdr:nvSpPr>
        <xdr:cNvPr id="4645206" name="Rectangle 6">
          <a:extLst>
            <a:ext uri="{FF2B5EF4-FFF2-40B4-BE49-F238E27FC236}">
              <a16:creationId xmlns:a16="http://schemas.microsoft.com/office/drawing/2014/main" id="{A4CA7D65-9CC3-47C2-A91B-9F56DDAEC8A0}"/>
            </a:ext>
          </a:extLst>
        </xdr:cNvPr>
        <xdr:cNvSpPr>
          <a:spLocks noChangeArrowheads="1"/>
        </xdr:cNvSpPr>
      </xdr:nvSpPr>
      <xdr:spPr bwMode="auto">
        <a:xfrm>
          <a:off x="3076575" y="3905250"/>
          <a:ext cx="361950" cy="295275"/>
        </a:xfrm>
        <a:prstGeom prst="rect">
          <a:avLst/>
        </a:prstGeom>
        <a:solidFill>
          <a:srgbClr val="FFFFFF"/>
        </a:solidFill>
        <a:ln w="9525" algn="ctr">
          <a:solidFill>
            <a:srgbClr val="000000"/>
          </a:solidFill>
          <a:round/>
          <a:headEnd/>
          <a:tailEnd/>
        </a:ln>
      </xdr:spPr>
    </xdr:sp>
    <xdr:clientData/>
  </xdr:twoCellAnchor>
  <xdr:twoCellAnchor>
    <xdr:from>
      <xdr:col>12</xdr:col>
      <xdr:colOff>0</xdr:colOff>
      <xdr:row>26</xdr:row>
      <xdr:rowOff>123825</xdr:rowOff>
    </xdr:from>
    <xdr:to>
      <xdr:col>13</xdr:col>
      <xdr:colOff>114300</xdr:colOff>
      <xdr:row>28</xdr:row>
      <xdr:rowOff>85725</xdr:rowOff>
    </xdr:to>
    <xdr:sp macro="" textlink="">
      <xdr:nvSpPr>
        <xdr:cNvPr id="4645207" name="Rectangle 7">
          <a:extLst>
            <a:ext uri="{FF2B5EF4-FFF2-40B4-BE49-F238E27FC236}">
              <a16:creationId xmlns:a16="http://schemas.microsoft.com/office/drawing/2014/main" id="{C5AE752C-139F-49A6-9FA9-DF9F1C2B5ED4}"/>
            </a:ext>
          </a:extLst>
        </xdr:cNvPr>
        <xdr:cNvSpPr>
          <a:spLocks noChangeArrowheads="1"/>
        </xdr:cNvSpPr>
      </xdr:nvSpPr>
      <xdr:spPr bwMode="auto">
        <a:xfrm>
          <a:off x="3076575" y="4610100"/>
          <a:ext cx="361950" cy="304800"/>
        </a:xfrm>
        <a:prstGeom prst="rect">
          <a:avLst/>
        </a:prstGeom>
        <a:solidFill>
          <a:srgbClr val="FFFFFF"/>
        </a:solidFill>
        <a:ln w="9525" algn="ctr">
          <a:solidFill>
            <a:srgbClr val="000000"/>
          </a:solidFill>
          <a:round/>
          <a:headEnd/>
          <a:tailEnd/>
        </a:ln>
      </xdr:spPr>
    </xdr:sp>
    <xdr:clientData/>
  </xdr:twoCellAnchor>
  <xdr:twoCellAnchor>
    <xdr:from>
      <xdr:col>29</xdr:col>
      <xdr:colOff>9525</xdr:colOff>
      <xdr:row>20</xdr:row>
      <xdr:rowOff>104775</xdr:rowOff>
    </xdr:from>
    <xdr:to>
      <xdr:col>30</xdr:col>
      <xdr:colOff>123825</xdr:colOff>
      <xdr:row>22</xdr:row>
      <xdr:rowOff>66675</xdr:rowOff>
    </xdr:to>
    <xdr:sp macro="" textlink="">
      <xdr:nvSpPr>
        <xdr:cNvPr id="4645208" name="Rectangle 8">
          <a:extLst>
            <a:ext uri="{FF2B5EF4-FFF2-40B4-BE49-F238E27FC236}">
              <a16:creationId xmlns:a16="http://schemas.microsoft.com/office/drawing/2014/main" id="{B068BE99-79AA-4F5C-B3F9-3F19EAE63430}"/>
            </a:ext>
            <a:ext uri="{147F2762-F138-4A5C-976F-8EAC2B608ADB}">
              <a16:predDERef xmlns:a16="http://schemas.microsoft.com/office/drawing/2014/main" pred="{C5AE752C-139F-49A6-9FA9-DF9F1C2B5ED4}"/>
            </a:ext>
          </a:extLst>
        </xdr:cNvPr>
        <xdr:cNvSpPr>
          <a:spLocks noChangeArrowheads="1"/>
        </xdr:cNvSpPr>
      </xdr:nvSpPr>
      <xdr:spPr bwMode="auto">
        <a:xfrm>
          <a:off x="7391400" y="3562350"/>
          <a:ext cx="361950" cy="304800"/>
        </a:xfrm>
        <a:prstGeom prst="rect">
          <a:avLst/>
        </a:prstGeom>
        <a:solidFill>
          <a:srgbClr val="FFFFFF"/>
        </a:solidFill>
        <a:ln w="9525" algn="ctr">
          <a:solidFill>
            <a:srgbClr val="000000"/>
          </a:solidFill>
          <a:round/>
          <a:headEnd/>
          <a:tailEnd/>
        </a:ln>
      </xdr:spPr>
    </xdr:sp>
    <xdr:clientData/>
  </xdr:twoCellAnchor>
  <xdr:twoCellAnchor>
    <xdr:from>
      <xdr:col>22</xdr:col>
      <xdr:colOff>15875</xdr:colOff>
      <xdr:row>31</xdr:row>
      <xdr:rowOff>42333</xdr:rowOff>
    </xdr:from>
    <xdr:to>
      <xdr:col>31</xdr:col>
      <xdr:colOff>224367</xdr:colOff>
      <xdr:row>32</xdr:row>
      <xdr:rowOff>125581</xdr:rowOff>
    </xdr:to>
    <xdr:grpSp>
      <xdr:nvGrpSpPr>
        <xdr:cNvPr id="4645209" name="Groupe 93">
          <a:extLst>
            <a:ext uri="{FF2B5EF4-FFF2-40B4-BE49-F238E27FC236}">
              <a16:creationId xmlns:a16="http://schemas.microsoft.com/office/drawing/2014/main" id="{B017B534-5ACC-4381-9C1F-201087963AC0}"/>
            </a:ext>
            <a:ext uri="{147F2762-F138-4A5C-976F-8EAC2B608ADB}">
              <a16:predDERef xmlns:a16="http://schemas.microsoft.com/office/drawing/2014/main" pred="{B068BE99-79AA-4F5C-B3F9-3F19EAE63430}"/>
            </a:ext>
          </a:extLst>
        </xdr:cNvPr>
        <xdr:cNvGrpSpPr>
          <a:grpSpLocks/>
        </xdr:cNvGrpSpPr>
      </xdr:nvGrpSpPr>
      <xdr:grpSpPr bwMode="auto">
        <a:xfrm>
          <a:off x="5974292" y="4767791"/>
          <a:ext cx="2542117" cy="231415"/>
          <a:chOff x="5295900" y="29260800"/>
          <a:chExt cx="2447926" cy="285750"/>
        </a:xfrm>
      </xdr:grpSpPr>
      <xdr:grpSp>
        <xdr:nvGrpSpPr>
          <xdr:cNvPr id="4645231" name="Groupe 24">
            <a:extLst>
              <a:ext uri="{FF2B5EF4-FFF2-40B4-BE49-F238E27FC236}">
                <a16:creationId xmlns:a16="http://schemas.microsoft.com/office/drawing/2014/main" id="{A7A9775D-4C20-411A-84A9-E166FA512958}"/>
              </a:ext>
            </a:extLst>
          </xdr:cNvPr>
          <xdr:cNvGrpSpPr>
            <a:grpSpLocks/>
          </xdr:cNvGrpSpPr>
        </xdr:nvGrpSpPr>
        <xdr:grpSpPr bwMode="auto">
          <a:xfrm>
            <a:off x="6124574" y="29260800"/>
            <a:ext cx="790576" cy="285750"/>
            <a:chOff x="7439024" y="28575000"/>
            <a:chExt cx="790576" cy="285750"/>
          </a:xfrm>
        </xdr:grpSpPr>
        <xdr:sp macro="" textlink="">
          <xdr:nvSpPr>
            <xdr:cNvPr id="4645238" name="Rectangle 101">
              <a:extLst>
                <a:ext uri="{FF2B5EF4-FFF2-40B4-BE49-F238E27FC236}">
                  <a16:creationId xmlns:a16="http://schemas.microsoft.com/office/drawing/2014/main" id="{0A7213E5-CB19-43EA-BEA4-3AC625FC3D0F}"/>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5239" name="Rectangle 102">
              <a:extLst>
                <a:ext uri="{FF2B5EF4-FFF2-40B4-BE49-F238E27FC236}">
                  <a16:creationId xmlns:a16="http://schemas.microsoft.com/office/drawing/2014/main" id="{D83A662E-2AAD-425B-9096-4B994439D4AE}"/>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5232" name="Groupe 25">
            <a:extLst>
              <a:ext uri="{FF2B5EF4-FFF2-40B4-BE49-F238E27FC236}">
                <a16:creationId xmlns:a16="http://schemas.microsoft.com/office/drawing/2014/main" id="{A7C4498B-E528-441B-875B-F4CE86721191}"/>
              </a:ext>
            </a:extLst>
          </xdr:cNvPr>
          <xdr:cNvGrpSpPr>
            <a:grpSpLocks/>
          </xdr:cNvGrpSpPr>
        </xdr:nvGrpSpPr>
        <xdr:grpSpPr bwMode="auto">
          <a:xfrm>
            <a:off x="5295900" y="29260800"/>
            <a:ext cx="790576" cy="285750"/>
            <a:chOff x="7439024" y="28575000"/>
            <a:chExt cx="790576" cy="285750"/>
          </a:xfrm>
        </xdr:grpSpPr>
        <xdr:sp macro="" textlink="">
          <xdr:nvSpPr>
            <xdr:cNvPr id="4645236" name="Rectangle 99">
              <a:extLst>
                <a:ext uri="{FF2B5EF4-FFF2-40B4-BE49-F238E27FC236}">
                  <a16:creationId xmlns:a16="http://schemas.microsoft.com/office/drawing/2014/main" id="{8A4BB07A-269E-47AC-B2F7-ED6A53CB3B64}"/>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5237" name="Rectangle 100">
              <a:extLst>
                <a:ext uri="{FF2B5EF4-FFF2-40B4-BE49-F238E27FC236}">
                  <a16:creationId xmlns:a16="http://schemas.microsoft.com/office/drawing/2014/main" id="{B37CBFBC-8502-496F-9233-F133ABF2B2C9}"/>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5233" name="Groupe 28">
            <a:extLst>
              <a:ext uri="{FF2B5EF4-FFF2-40B4-BE49-F238E27FC236}">
                <a16:creationId xmlns:a16="http://schemas.microsoft.com/office/drawing/2014/main" id="{A213254E-86A3-4504-83E9-07ECB79B37B6}"/>
              </a:ext>
            </a:extLst>
          </xdr:cNvPr>
          <xdr:cNvGrpSpPr>
            <a:grpSpLocks/>
          </xdr:cNvGrpSpPr>
        </xdr:nvGrpSpPr>
        <xdr:grpSpPr bwMode="auto">
          <a:xfrm>
            <a:off x="6953250" y="29260800"/>
            <a:ext cx="790576" cy="285750"/>
            <a:chOff x="7439024" y="28575000"/>
            <a:chExt cx="790576" cy="285750"/>
          </a:xfrm>
        </xdr:grpSpPr>
        <xdr:sp macro="" textlink="">
          <xdr:nvSpPr>
            <xdr:cNvPr id="4645234" name="Rectangle 97">
              <a:extLst>
                <a:ext uri="{FF2B5EF4-FFF2-40B4-BE49-F238E27FC236}">
                  <a16:creationId xmlns:a16="http://schemas.microsoft.com/office/drawing/2014/main" id="{4EA1CDBB-3768-4DAE-B562-F7745C455F44}"/>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5235" name="Rectangle 98">
              <a:extLst>
                <a:ext uri="{FF2B5EF4-FFF2-40B4-BE49-F238E27FC236}">
                  <a16:creationId xmlns:a16="http://schemas.microsoft.com/office/drawing/2014/main" id="{46B56C4F-C7A5-472B-8142-BE8A03ED10A4}"/>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32</xdr:col>
      <xdr:colOff>47625</xdr:colOff>
      <xdr:row>31</xdr:row>
      <xdr:rowOff>42333</xdr:rowOff>
    </xdr:from>
    <xdr:to>
      <xdr:col>33</xdr:col>
      <xdr:colOff>179916</xdr:colOff>
      <xdr:row>32</xdr:row>
      <xdr:rowOff>125581</xdr:rowOff>
    </xdr:to>
    <xdr:sp macro="" textlink="">
      <xdr:nvSpPr>
        <xdr:cNvPr id="4645210" name="Rectangle 102">
          <a:extLst>
            <a:ext uri="{FF2B5EF4-FFF2-40B4-BE49-F238E27FC236}">
              <a16:creationId xmlns:a16="http://schemas.microsoft.com/office/drawing/2014/main" id="{37E5369B-B5A8-472B-8362-4AB1030F5EDA}"/>
            </a:ext>
            <a:ext uri="{147F2762-F138-4A5C-976F-8EAC2B608ADB}">
              <a16:predDERef xmlns:a16="http://schemas.microsoft.com/office/drawing/2014/main" pred="{B017B534-5ACC-4381-9C1F-201087963AC0}"/>
            </a:ext>
          </a:extLst>
        </xdr:cNvPr>
        <xdr:cNvSpPr>
          <a:spLocks noChangeArrowheads="1"/>
        </xdr:cNvSpPr>
      </xdr:nvSpPr>
      <xdr:spPr bwMode="auto">
        <a:xfrm>
          <a:off x="9159875" y="4773083"/>
          <a:ext cx="407458" cy="231415"/>
        </a:xfrm>
        <a:prstGeom prst="rect">
          <a:avLst/>
        </a:prstGeom>
        <a:solidFill>
          <a:srgbClr val="FFFFFF"/>
        </a:solidFill>
        <a:ln w="9525" algn="ctr">
          <a:solidFill>
            <a:srgbClr val="000000"/>
          </a:solidFill>
          <a:round/>
          <a:headEnd/>
          <a:tailEnd/>
        </a:ln>
      </xdr:spPr>
    </xdr:sp>
    <xdr:clientData/>
  </xdr:twoCellAnchor>
  <xdr:twoCellAnchor>
    <xdr:from>
      <xdr:col>30</xdr:col>
      <xdr:colOff>9525</xdr:colOff>
      <xdr:row>6</xdr:row>
      <xdr:rowOff>0</xdr:rowOff>
    </xdr:from>
    <xdr:to>
      <xdr:col>31</xdr:col>
      <xdr:colOff>76200</xdr:colOff>
      <xdr:row>7</xdr:row>
      <xdr:rowOff>123825</xdr:rowOff>
    </xdr:to>
    <xdr:sp macro="" textlink="">
      <xdr:nvSpPr>
        <xdr:cNvPr id="4645211" name="Rectangle 21">
          <a:extLst>
            <a:ext uri="{FF2B5EF4-FFF2-40B4-BE49-F238E27FC236}">
              <a16:creationId xmlns:a16="http://schemas.microsoft.com/office/drawing/2014/main" id="{C515C264-F891-4F0C-A261-93566B84953D}"/>
            </a:ext>
            <a:ext uri="{147F2762-F138-4A5C-976F-8EAC2B608ADB}">
              <a16:predDERef xmlns:a16="http://schemas.microsoft.com/office/drawing/2014/main" pred="{37E5369B-B5A8-472B-8362-4AB1030F5EDA}"/>
            </a:ext>
          </a:extLst>
        </xdr:cNvPr>
        <xdr:cNvSpPr>
          <a:spLocks noChangeArrowheads="1"/>
        </xdr:cNvSpPr>
      </xdr:nvSpPr>
      <xdr:spPr bwMode="auto">
        <a:xfrm>
          <a:off x="7639050" y="1057275"/>
          <a:ext cx="314325" cy="295275"/>
        </a:xfrm>
        <a:prstGeom prst="rect">
          <a:avLst/>
        </a:prstGeom>
        <a:solidFill>
          <a:srgbClr val="FFFFFF"/>
        </a:solidFill>
        <a:ln w="9525" algn="ctr">
          <a:solidFill>
            <a:srgbClr val="000000"/>
          </a:solidFill>
          <a:round/>
          <a:headEnd/>
          <a:tailEnd/>
        </a:ln>
      </xdr:spPr>
    </xdr:sp>
    <xdr:clientData/>
  </xdr:twoCellAnchor>
  <xdr:twoCellAnchor>
    <xdr:from>
      <xdr:col>30</xdr:col>
      <xdr:colOff>9525</xdr:colOff>
      <xdr:row>9</xdr:row>
      <xdr:rowOff>0</xdr:rowOff>
    </xdr:from>
    <xdr:to>
      <xdr:col>31</xdr:col>
      <xdr:colOff>76200</xdr:colOff>
      <xdr:row>10</xdr:row>
      <xdr:rowOff>114300</xdr:rowOff>
    </xdr:to>
    <xdr:sp macro="" textlink="">
      <xdr:nvSpPr>
        <xdr:cNvPr id="4645212" name="Rectangle 22">
          <a:extLst>
            <a:ext uri="{FF2B5EF4-FFF2-40B4-BE49-F238E27FC236}">
              <a16:creationId xmlns:a16="http://schemas.microsoft.com/office/drawing/2014/main" id="{0B540A1C-083D-4C8F-A120-72FA8004F14C}"/>
            </a:ext>
            <a:ext uri="{147F2762-F138-4A5C-976F-8EAC2B608ADB}">
              <a16:predDERef xmlns:a16="http://schemas.microsoft.com/office/drawing/2014/main" pred="{C515C264-F891-4F0C-A261-93566B84953D}"/>
            </a:ext>
          </a:extLst>
        </xdr:cNvPr>
        <xdr:cNvSpPr>
          <a:spLocks noChangeArrowheads="1"/>
        </xdr:cNvSpPr>
      </xdr:nvSpPr>
      <xdr:spPr bwMode="auto">
        <a:xfrm>
          <a:off x="7639050" y="1571625"/>
          <a:ext cx="314325" cy="285750"/>
        </a:xfrm>
        <a:prstGeom prst="rect">
          <a:avLst/>
        </a:prstGeom>
        <a:solidFill>
          <a:srgbClr val="FFFFFF"/>
        </a:solidFill>
        <a:ln w="9525" algn="ctr">
          <a:solidFill>
            <a:srgbClr val="000000"/>
          </a:solidFill>
          <a:round/>
          <a:headEnd/>
          <a:tailEnd/>
        </a:ln>
      </xdr:spPr>
    </xdr:sp>
    <xdr:clientData/>
  </xdr:twoCellAnchor>
  <xdr:twoCellAnchor>
    <xdr:from>
      <xdr:col>30</xdr:col>
      <xdr:colOff>9525</xdr:colOff>
      <xdr:row>12</xdr:row>
      <xdr:rowOff>0</xdr:rowOff>
    </xdr:from>
    <xdr:to>
      <xdr:col>31</xdr:col>
      <xdr:colOff>76200</xdr:colOff>
      <xdr:row>13</xdr:row>
      <xdr:rowOff>114300</xdr:rowOff>
    </xdr:to>
    <xdr:sp macro="" textlink="">
      <xdr:nvSpPr>
        <xdr:cNvPr id="4645213" name="Rectangle 23">
          <a:extLst>
            <a:ext uri="{FF2B5EF4-FFF2-40B4-BE49-F238E27FC236}">
              <a16:creationId xmlns:a16="http://schemas.microsoft.com/office/drawing/2014/main" id="{56BCD2E9-8184-45E4-BFE7-0AE1307DB3C7}"/>
            </a:ext>
            <a:ext uri="{147F2762-F138-4A5C-976F-8EAC2B608ADB}">
              <a16:predDERef xmlns:a16="http://schemas.microsoft.com/office/drawing/2014/main" pred="{0B540A1C-083D-4C8F-A120-72FA8004F14C}"/>
            </a:ext>
          </a:extLst>
        </xdr:cNvPr>
        <xdr:cNvSpPr>
          <a:spLocks noChangeArrowheads="1"/>
        </xdr:cNvSpPr>
      </xdr:nvSpPr>
      <xdr:spPr bwMode="auto">
        <a:xfrm>
          <a:off x="7639050" y="2085975"/>
          <a:ext cx="314325" cy="285750"/>
        </a:xfrm>
        <a:prstGeom prst="rect">
          <a:avLst/>
        </a:prstGeom>
        <a:solidFill>
          <a:srgbClr val="FFFFFF"/>
        </a:solidFill>
        <a:ln w="9525" algn="ctr">
          <a:solidFill>
            <a:srgbClr val="000000"/>
          </a:solidFill>
          <a:round/>
          <a:headEnd/>
          <a:tailEnd/>
        </a:ln>
      </xdr:spPr>
    </xdr:sp>
    <xdr:clientData/>
  </xdr:twoCellAnchor>
  <xdr:twoCellAnchor>
    <xdr:from>
      <xdr:col>3</xdr:col>
      <xdr:colOff>133350</xdr:colOff>
      <xdr:row>9</xdr:row>
      <xdr:rowOff>0</xdr:rowOff>
    </xdr:from>
    <xdr:to>
      <xdr:col>5</xdr:col>
      <xdr:colOff>0</xdr:colOff>
      <xdr:row>10</xdr:row>
      <xdr:rowOff>142875</xdr:rowOff>
    </xdr:to>
    <xdr:sp macro="" textlink="">
      <xdr:nvSpPr>
        <xdr:cNvPr id="4645214" name="Rectangle 24">
          <a:extLst>
            <a:ext uri="{FF2B5EF4-FFF2-40B4-BE49-F238E27FC236}">
              <a16:creationId xmlns:a16="http://schemas.microsoft.com/office/drawing/2014/main" id="{8B55A26E-9734-4CC5-9351-C678F853B722}"/>
            </a:ext>
          </a:extLst>
        </xdr:cNvPr>
        <xdr:cNvSpPr>
          <a:spLocks noChangeArrowheads="1"/>
        </xdr:cNvSpPr>
      </xdr:nvSpPr>
      <xdr:spPr bwMode="auto">
        <a:xfrm>
          <a:off x="981075" y="1571625"/>
          <a:ext cx="361950" cy="314325"/>
        </a:xfrm>
        <a:prstGeom prst="rect">
          <a:avLst/>
        </a:prstGeom>
        <a:solidFill>
          <a:srgbClr val="FFFFFF"/>
        </a:solidFill>
        <a:ln w="9525" algn="ctr">
          <a:solidFill>
            <a:srgbClr val="000000"/>
          </a:solidFill>
          <a:round/>
          <a:headEnd/>
          <a:tailEnd/>
        </a:ln>
      </xdr:spPr>
    </xdr:sp>
    <xdr:clientData/>
  </xdr:twoCellAnchor>
  <xdr:twoCellAnchor>
    <xdr:from>
      <xdr:col>5</xdr:col>
      <xdr:colOff>47625</xdr:colOff>
      <xdr:row>9</xdr:row>
      <xdr:rowOff>0</xdr:rowOff>
    </xdr:from>
    <xdr:to>
      <xdr:col>6</xdr:col>
      <xdr:colOff>171450</xdr:colOff>
      <xdr:row>10</xdr:row>
      <xdr:rowOff>142875</xdr:rowOff>
    </xdr:to>
    <xdr:sp macro="" textlink="">
      <xdr:nvSpPr>
        <xdr:cNvPr id="4645215" name="Rectangle 25">
          <a:extLst>
            <a:ext uri="{FF2B5EF4-FFF2-40B4-BE49-F238E27FC236}">
              <a16:creationId xmlns:a16="http://schemas.microsoft.com/office/drawing/2014/main" id="{0EC3BAD8-38EB-449D-A5CC-3AD73B98FA3E}"/>
            </a:ext>
          </a:extLst>
        </xdr:cNvPr>
        <xdr:cNvSpPr>
          <a:spLocks noChangeArrowheads="1"/>
        </xdr:cNvSpPr>
      </xdr:nvSpPr>
      <xdr:spPr bwMode="auto">
        <a:xfrm>
          <a:off x="1390650" y="1571625"/>
          <a:ext cx="371475" cy="314325"/>
        </a:xfrm>
        <a:prstGeom prst="rect">
          <a:avLst/>
        </a:prstGeom>
        <a:solidFill>
          <a:srgbClr val="FFFFFF"/>
        </a:solidFill>
        <a:ln w="9525" algn="ctr">
          <a:solidFill>
            <a:srgbClr val="000000"/>
          </a:solidFill>
          <a:round/>
          <a:headEnd/>
          <a:tailEnd/>
        </a:ln>
      </xdr:spPr>
    </xdr:sp>
    <xdr:clientData/>
  </xdr:twoCellAnchor>
  <xdr:twoCellAnchor>
    <xdr:from>
      <xdr:col>15</xdr:col>
      <xdr:colOff>76200</xdr:colOff>
      <xdr:row>8</xdr:row>
      <xdr:rowOff>171450</xdr:rowOff>
    </xdr:from>
    <xdr:to>
      <xdr:col>16</xdr:col>
      <xdr:colOff>200025</xdr:colOff>
      <xdr:row>10</xdr:row>
      <xdr:rowOff>123825</xdr:rowOff>
    </xdr:to>
    <xdr:sp macro="" textlink="">
      <xdr:nvSpPr>
        <xdr:cNvPr id="4645216" name="Rectangle 26">
          <a:extLst>
            <a:ext uri="{FF2B5EF4-FFF2-40B4-BE49-F238E27FC236}">
              <a16:creationId xmlns:a16="http://schemas.microsoft.com/office/drawing/2014/main" id="{3822F145-4973-40F6-9517-B9A251DECD61}"/>
            </a:ext>
          </a:extLst>
        </xdr:cNvPr>
        <xdr:cNvSpPr>
          <a:spLocks noChangeArrowheads="1"/>
        </xdr:cNvSpPr>
      </xdr:nvSpPr>
      <xdr:spPr bwMode="auto">
        <a:xfrm>
          <a:off x="3895725" y="1571625"/>
          <a:ext cx="371475" cy="295275"/>
        </a:xfrm>
        <a:prstGeom prst="rect">
          <a:avLst/>
        </a:prstGeom>
        <a:solidFill>
          <a:srgbClr val="FFFFFF"/>
        </a:solidFill>
        <a:ln w="9525" algn="ctr">
          <a:solidFill>
            <a:srgbClr val="000000"/>
          </a:solidFill>
          <a:round/>
          <a:headEnd/>
          <a:tailEnd/>
        </a:ln>
      </xdr:spPr>
    </xdr:sp>
    <xdr:clientData/>
  </xdr:twoCellAnchor>
  <xdr:twoCellAnchor>
    <xdr:from>
      <xdr:col>17</xdr:col>
      <xdr:colOff>0</xdr:colOff>
      <xdr:row>8</xdr:row>
      <xdr:rowOff>171450</xdr:rowOff>
    </xdr:from>
    <xdr:to>
      <xdr:col>18</xdr:col>
      <xdr:colOff>114300</xdr:colOff>
      <xdr:row>10</xdr:row>
      <xdr:rowOff>123825</xdr:rowOff>
    </xdr:to>
    <xdr:sp macro="" textlink="">
      <xdr:nvSpPr>
        <xdr:cNvPr id="4645217" name="Rectangle 27">
          <a:extLst>
            <a:ext uri="{FF2B5EF4-FFF2-40B4-BE49-F238E27FC236}">
              <a16:creationId xmlns:a16="http://schemas.microsoft.com/office/drawing/2014/main" id="{69DE9FDD-F990-4A32-928B-94B248F18450}"/>
            </a:ext>
          </a:extLst>
        </xdr:cNvPr>
        <xdr:cNvSpPr>
          <a:spLocks noChangeArrowheads="1"/>
        </xdr:cNvSpPr>
      </xdr:nvSpPr>
      <xdr:spPr bwMode="auto">
        <a:xfrm>
          <a:off x="4314825" y="1571625"/>
          <a:ext cx="361950" cy="295275"/>
        </a:xfrm>
        <a:prstGeom prst="rect">
          <a:avLst/>
        </a:prstGeom>
        <a:solidFill>
          <a:srgbClr val="FFFFFF"/>
        </a:solidFill>
        <a:ln w="9525" algn="ctr">
          <a:solidFill>
            <a:srgbClr val="000000"/>
          </a:solidFill>
          <a:round/>
          <a:headEnd/>
          <a:tailEnd/>
        </a:ln>
      </xdr:spPr>
    </xdr:sp>
    <xdr:clientData/>
  </xdr:twoCellAnchor>
  <xdr:twoCellAnchor>
    <xdr:from>
      <xdr:col>9</xdr:col>
      <xdr:colOff>104775</xdr:colOff>
      <xdr:row>1</xdr:row>
      <xdr:rowOff>123825</xdr:rowOff>
    </xdr:from>
    <xdr:to>
      <xdr:col>10</xdr:col>
      <xdr:colOff>209550</xdr:colOff>
      <xdr:row>3</xdr:row>
      <xdr:rowOff>85725</xdr:rowOff>
    </xdr:to>
    <xdr:sp macro="" textlink="">
      <xdr:nvSpPr>
        <xdr:cNvPr id="4645218" name="Rectangle 28">
          <a:extLst>
            <a:ext uri="{FF2B5EF4-FFF2-40B4-BE49-F238E27FC236}">
              <a16:creationId xmlns:a16="http://schemas.microsoft.com/office/drawing/2014/main" id="{3A043796-D596-4715-82C2-AE63A0BB26F5}"/>
            </a:ext>
          </a:extLst>
        </xdr:cNvPr>
        <xdr:cNvSpPr>
          <a:spLocks noChangeArrowheads="1"/>
        </xdr:cNvSpPr>
      </xdr:nvSpPr>
      <xdr:spPr bwMode="auto">
        <a:xfrm>
          <a:off x="2438400" y="323850"/>
          <a:ext cx="352425" cy="304800"/>
        </a:xfrm>
        <a:prstGeom prst="rect">
          <a:avLst/>
        </a:prstGeom>
        <a:solidFill>
          <a:srgbClr val="FFFFFF"/>
        </a:solidFill>
        <a:ln w="9525" algn="ctr">
          <a:solidFill>
            <a:srgbClr val="000000"/>
          </a:solidFill>
          <a:round/>
          <a:headEnd/>
          <a:tailEnd/>
        </a:ln>
      </xdr:spPr>
    </xdr:sp>
    <xdr:clientData/>
  </xdr:twoCellAnchor>
  <xdr:twoCellAnchor>
    <xdr:from>
      <xdr:col>11</xdr:col>
      <xdr:colOff>19050</xdr:colOff>
      <xdr:row>1</xdr:row>
      <xdr:rowOff>123825</xdr:rowOff>
    </xdr:from>
    <xdr:to>
      <xdr:col>12</xdr:col>
      <xdr:colOff>133350</xdr:colOff>
      <xdr:row>3</xdr:row>
      <xdr:rowOff>85725</xdr:rowOff>
    </xdr:to>
    <xdr:sp macro="" textlink="">
      <xdr:nvSpPr>
        <xdr:cNvPr id="4645219" name="Rectangle 29">
          <a:extLst>
            <a:ext uri="{FF2B5EF4-FFF2-40B4-BE49-F238E27FC236}">
              <a16:creationId xmlns:a16="http://schemas.microsoft.com/office/drawing/2014/main" id="{C2804A92-1738-41C6-83A8-7EB3EB9DD569}"/>
            </a:ext>
          </a:extLst>
        </xdr:cNvPr>
        <xdr:cNvSpPr>
          <a:spLocks noChangeArrowheads="1"/>
        </xdr:cNvSpPr>
      </xdr:nvSpPr>
      <xdr:spPr bwMode="auto">
        <a:xfrm>
          <a:off x="2847975" y="323850"/>
          <a:ext cx="361950" cy="304800"/>
        </a:xfrm>
        <a:prstGeom prst="rect">
          <a:avLst/>
        </a:prstGeom>
        <a:solidFill>
          <a:srgbClr val="FFFFFF"/>
        </a:solidFill>
        <a:ln w="9525" algn="ctr">
          <a:solidFill>
            <a:srgbClr val="000000"/>
          </a:solidFill>
          <a:round/>
          <a:headEnd/>
          <a:tailEnd/>
        </a:ln>
      </xdr:spPr>
    </xdr:sp>
    <xdr:clientData/>
  </xdr:twoCellAnchor>
  <xdr:twoCellAnchor>
    <xdr:from>
      <xdr:col>22</xdr:col>
      <xdr:colOff>28575</xdr:colOff>
      <xdr:row>26</xdr:row>
      <xdr:rowOff>0</xdr:rowOff>
    </xdr:from>
    <xdr:to>
      <xdr:col>31</xdr:col>
      <xdr:colOff>209550</xdr:colOff>
      <xdr:row>27</xdr:row>
      <xdr:rowOff>123825</xdr:rowOff>
    </xdr:to>
    <xdr:grpSp>
      <xdr:nvGrpSpPr>
        <xdr:cNvPr id="4645220" name="Groupe 93">
          <a:extLst>
            <a:ext uri="{FF2B5EF4-FFF2-40B4-BE49-F238E27FC236}">
              <a16:creationId xmlns:a16="http://schemas.microsoft.com/office/drawing/2014/main" id="{C1C4ECEC-20A7-4E0B-B284-77A0CABA9D43}"/>
            </a:ext>
            <a:ext uri="{147F2762-F138-4A5C-976F-8EAC2B608ADB}">
              <a16:predDERef xmlns:a16="http://schemas.microsoft.com/office/drawing/2014/main" pred="{C2804A92-1738-41C6-83A8-7EB3EB9DD569}"/>
            </a:ext>
          </a:extLst>
        </xdr:cNvPr>
        <xdr:cNvGrpSpPr>
          <a:grpSpLocks/>
        </xdr:cNvGrpSpPr>
      </xdr:nvGrpSpPr>
      <xdr:grpSpPr bwMode="auto">
        <a:xfrm>
          <a:off x="5986992" y="3984625"/>
          <a:ext cx="2514600" cy="271992"/>
          <a:chOff x="5295900" y="29260800"/>
          <a:chExt cx="2447926" cy="285750"/>
        </a:xfrm>
      </xdr:grpSpPr>
      <xdr:grpSp>
        <xdr:nvGrpSpPr>
          <xdr:cNvPr id="4645222" name="Groupe 24">
            <a:extLst>
              <a:ext uri="{FF2B5EF4-FFF2-40B4-BE49-F238E27FC236}">
                <a16:creationId xmlns:a16="http://schemas.microsoft.com/office/drawing/2014/main" id="{E8CE6B81-A173-43A7-BE95-105A74E7EED7}"/>
              </a:ext>
            </a:extLst>
          </xdr:cNvPr>
          <xdr:cNvGrpSpPr>
            <a:grpSpLocks/>
          </xdr:cNvGrpSpPr>
        </xdr:nvGrpSpPr>
        <xdr:grpSpPr bwMode="auto">
          <a:xfrm>
            <a:off x="6124574" y="29260800"/>
            <a:ext cx="790576" cy="285750"/>
            <a:chOff x="7439024" y="28575000"/>
            <a:chExt cx="790576" cy="285750"/>
          </a:xfrm>
        </xdr:grpSpPr>
        <xdr:sp macro="" textlink="">
          <xdr:nvSpPr>
            <xdr:cNvPr id="4645229" name="Rectangle 101">
              <a:extLst>
                <a:ext uri="{FF2B5EF4-FFF2-40B4-BE49-F238E27FC236}">
                  <a16:creationId xmlns:a16="http://schemas.microsoft.com/office/drawing/2014/main" id="{2B88D147-6351-4950-98F9-7CBCF742BEE6}"/>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5230" name="Rectangle 102">
              <a:extLst>
                <a:ext uri="{FF2B5EF4-FFF2-40B4-BE49-F238E27FC236}">
                  <a16:creationId xmlns:a16="http://schemas.microsoft.com/office/drawing/2014/main" id="{12117EB6-1A1B-49A7-9DCB-5A531C94FF7B}"/>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5223" name="Groupe 25">
            <a:extLst>
              <a:ext uri="{FF2B5EF4-FFF2-40B4-BE49-F238E27FC236}">
                <a16:creationId xmlns:a16="http://schemas.microsoft.com/office/drawing/2014/main" id="{13E95A72-F466-4B9F-8DD4-D1A1A7F6DA87}"/>
              </a:ext>
            </a:extLst>
          </xdr:cNvPr>
          <xdr:cNvGrpSpPr>
            <a:grpSpLocks/>
          </xdr:cNvGrpSpPr>
        </xdr:nvGrpSpPr>
        <xdr:grpSpPr bwMode="auto">
          <a:xfrm>
            <a:off x="5295900" y="29260800"/>
            <a:ext cx="790576" cy="285750"/>
            <a:chOff x="7439024" y="28575000"/>
            <a:chExt cx="790576" cy="285750"/>
          </a:xfrm>
        </xdr:grpSpPr>
        <xdr:sp macro="" textlink="">
          <xdr:nvSpPr>
            <xdr:cNvPr id="4645227" name="Rectangle 99">
              <a:extLst>
                <a:ext uri="{FF2B5EF4-FFF2-40B4-BE49-F238E27FC236}">
                  <a16:creationId xmlns:a16="http://schemas.microsoft.com/office/drawing/2014/main" id="{46851B0A-474A-4DA0-A6CB-B26DE94D9732}"/>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5228" name="Rectangle 100">
              <a:extLst>
                <a:ext uri="{FF2B5EF4-FFF2-40B4-BE49-F238E27FC236}">
                  <a16:creationId xmlns:a16="http://schemas.microsoft.com/office/drawing/2014/main" id="{EC3DFCF1-CA14-4402-BC3A-63385BD87405}"/>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5224" name="Groupe 28">
            <a:extLst>
              <a:ext uri="{FF2B5EF4-FFF2-40B4-BE49-F238E27FC236}">
                <a16:creationId xmlns:a16="http://schemas.microsoft.com/office/drawing/2014/main" id="{B0F357C9-8D81-4D00-85EA-1DD86FE3BFE6}"/>
              </a:ext>
            </a:extLst>
          </xdr:cNvPr>
          <xdr:cNvGrpSpPr>
            <a:grpSpLocks/>
          </xdr:cNvGrpSpPr>
        </xdr:nvGrpSpPr>
        <xdr:grpSpPr bwMode="auto">
          <a:xfrm>
            <a:off x="6953250" y="29260800"/>
            <a:ext cx="790576" cy="285750"/>
            <a:chOff x="7439024" y="28575000"/>
            <a:chExt cx="790576" cy="285750"/>
          </a:xfrm>
        </xdr:grpSpPr>
        <xdr:sp macro="" textlink="">
          <xdr:nvSpPr>
            <xdr:cNvPr id="4645225" name="Rectangle 97">
              <a:extLst>
                <a:ext uri="{FF2B5EF4-FFF2-40B4-BE49-F238E27FC236}">
                  <a16:creationId xmlns:a16="http://schemas.microsoft.com/office/drawing/2014/main" id="{724B585A-D648-4C26-A85A-63C32F10A419}"/>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5226" name="Rectangle 98">
              <a:extLst>
                <a:ext uri="{FF2B5EF4-FFF2-40B4-BE49-F238E27FC236}">
                  <a16:creationId xmlns:a16="http://schemas.microsoft.com/office/drawing/2014/main" id="{5E994B8D-C90D-4315-B6FF-4B4667F7AF60}"/>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32</xdr:col>
      <xdr:colOff>19050</xdr:colOff>
      <xdr:row>25</xdr:row>
      <xdr:rowOff>152400</xdr:rowOff>
    </xdr:from>
    <xdr:to>
      <xdr:col>33</xdr:col>
      <xdr:colOff>104775</xdr:colOff>
      <xdr:row>27</xdr:row>
      <xdr:rowOff>104775</xdr:rowOff>
    </xdr:to>
    <xdr:sp macro="" textlink="">
      <xdr:nvSpPr>
        <xdr:cNvPr id="4645221" name="Rectangle 102">
          <a:extLst>
            <a:ext uri="{FF2B5EF4-FFF2-40B4-BE49-F238E27FC236}">
              <a16:creationId xmlns:a16="http://schemas.microsoft.com/office/drawing/2014/main" id="{F9E75EE2-B193-4810-9B23-9EB33D71CE78}"/>
            </a:ext>
            <a:ext uri="{147F2762-F138-4A5C-976F-8EAC2B608ADB}">
              <a16:predDERef xmlns:a16="http://schemas.microsoft.com/office/drawing/2014/main" pred="{C1C4ECEC-20A7-4E0B-B284-77A0CABA9D43}"/>
            </a:ext>
          </a:extLst>
        </xdr:cNvPr>
        <xdr:cNvSpPr>
          <a:spLocks noChangeArrowheads="1"/>
        </xdr:cNvSpPr>
      </xdr:nvSpPr>
      <xdr:spPr bwMode="auto">
        <a:xfrm>
          <a:off x="8191500" y="4467225"/>
          <a:ext cx="333375" cy="295275"/>
        </a:xfrm>
        <a:prstGeom prst="rect">
          <a:avLst/>
        </a:prstGeom>
        <a:solidFill>
          <a:srgbClr val="FFFFFF"/>
        </a:solidFill>
        <a:ln w="9525" algn="ctr">
          <a:solidFill>
            <a:srgbClr val="000000"/>
          </a:solidFill>
          <a:round/>
          <a:headEnd/>
          <a:tailEnd/>
        </a:ln>
      </xdr:spPr>
    </xdr:sp>
    <xdr:clientData/>
  </xdr:twoCellAnchor>
  <xdr:twoCellAnchor>
    <xdr:from>
      <xdr:col>22</xdr:col>
      <xdr:colOff>26462</xdr:colOff>
      <xdr:row>35</xdr:row>
      <xdr:rowOff>15871</xdr:rowOff>
    </xdr:from>
    <xdr:to>
      <xdr:col>31</xdr:col>
      <xdr:colOff>234954</xdr:colOff>
      <xdr:row>36</xdr:row>
      <xdr:rowOff>125938</xdr:rowOff>
    </xdr:to>
    <xdr:grpSp>
      <xdr:nvGrpSpPr>
        <xdr:cNvPr id="40" name="Groupe 93">
          <a:extLst>
            <a:ext uri="{FF2B5EF4-FFF2-40B4-BE49-F238E27FC236}">
              <a16:creationId xmlns:a16="http://schemas.microsoft.com/office/drawing/2014/main" id="{2A7940A4-ABC3-EF44-AA0B-0C520AAD7C50}"/>
            </a:ext>
            <a:ext uri="{147F2762-F138-4A5C-976F-8EAC2B608ADB}">
              <a16:predDERef xmlns:a16="http://schemas.microsoft.com/office/drawing/2014/main" pred="{B068BE99-79AA-4F5C-B3F9-3F19EAE63430}"/>
            </a:ext>
          </a:extLst>
        </xdr:cNvPr>
        <xdr:cNvGrpSpPr>
          <a:grpSpLocks/>
        </xdr:cNvGrpSpPr>
      </xdr:nvGrpSpPr>
      <xdr:grpSpPr bwMode="auto">
        <a:xfrm>
          <a:off x="5984879" y="5376329"/>
          <a:ext cx="2542117" cy="258234"/>
          <a:chOff x="5295900" y="29260800"/>
          <a:chExt cx="2447926" cy="285750"/>
        </a:xfrm>
      </xdr:grpSpPr>
      <xdr:grpSp>
        <xdr:nvGrpSpPr>
          <xdr:cNvPr id="41" name="Groupe 24">
            <a:extLst>
              <a:ext uri="{FF2B5EF4-FFF2-40B4-BE49-F238E27FC236}">
                <a16:creationId xmlns:a16="http://schemas.microsoft.com/office/drawing/2014/main" id="{7968A045-BBA5-B847-8560-087F2A30DC22}"/>
              </a:ext>
            </a:extLst>
          </xdr:cNvPr>
          <xdr:cNvGrpSpPr>
            <a:grpSpLocks/>
          </xdr:cNvGrpSpPr>
        </xdr:nvGrpSpPr>
        <xdr:grpSpPr bwMode="auto">
          <a:xfrm>
            <a:off x="6124574" y="29260800"/>
            <a:ext cx="790576" cy="285750"/>
            <a:chOff x="7439024" y="28575000"/>
            <a:chExt cx="790576" cy="285750"/>
          </a:xfrm>
        </xdr:grpSpPr>
        <xdr:sp macro="" textlink="">
          <xdr:nvSpPr>
            <xdr:cNvPr id="48" name="Rectangle 101">
              <a:extLst>
                <a:ext uri="{FF2B5EF4-FFF2-40B4-BE49-F238E27FC236}">
                  <a16:creationId xmlns:a16="http://schemas.microsoft.com/office/drawing/2014/main" id="{2BB7CC79-B8FE-D245-8EB6-65AC507AA626}"/>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9" name="Rectangle 102">
              <a:extLst>
                <a:ext uri="{FF2B5EF4-FFF2-40B4-BE49-F238E27FC236}">
                  <a16:creationId xmlns:a16="http://schemas.microsoft.com/office/drawing/2014/main" id="{76E64503-D2BE-D64F-8FC7-6FDA3B7BD782}"/>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2" name="Groupe 25">
            <a:extLst>
              <a:ext uri="{FF2B5EF4-FFF2-40B4-BE49-F238E27FC236}">
                <a16:creationId xmlns:a16="http://schemas.microsoft.com/office/drawing/2014/main" id="{00816640-ADF4-E444-9EDB-9E724CDF026C}"/>
              </a:ext>
            </a:extLst>
          </xdr:cNvPr>
          <xdr:cNvGrpSpPr>
            <a:grpSpLocks/>
          </xdr:cNvGrpSpPr>
        </xdr:nvGrpSpPr>
        <xdr:grpSpPr bwMode="auto">
          <a:xfrm>
            <a:off x="5295900" y="29260800"/>
            <a:ext cx="790576" cy="285750"/>
            <a:chOff x="7439024" y="28575000"/>
            <a:chExt cx="790576" cy="285750"/>
          </a:xfrm>
        </xdr:grpSpPr>
        <xdr:sp macro="" textlink="">
          <xdr:nvSpPr>
            <xdr:cNvPr id="46" name="Rectangle 99">
              <a:extLst>
                <a:ext uri="{FF2B5EF4-FFF2-40B4-BE49-F238E27FC236}">
                  <a16:creationId xmlns:a16="http://schemas.microsoft.com/office/drawing/2014/main" id="{4D7758CF-DD67-C045-9C83-14E8131EF9F6}"/>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7" name="Rectangle 100">
              <a:extLst>
                <a:ext uri="{FF2B5EF4-FFF2-40B4-BE49-F238E27FC236}">
                  <a16:creationId xmlns:a16="http://schemas.microsoft.com/office/drawing/2014/main" id="{467A54D6-CCB5-DA4C-A897-93CFEFBD61DA}"/>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3" name="Groupe 28">
            <a:extLst>
              <a:ext uri="{FF2B5EF4-FFF2-40B4-BE49-F238E27FC236}">
                <a16:creationId xmlns:a16="http://schemas.microsoft.com/office/drawing/2014/main" id="{F0EAB4DC-660F-454A-BD1C-D850DCFBC074}"/>
              </a:ext>
            </a:extLst>
          </xdr:cNvPr>
          <xdr:cNvGrpSpPr>
            <a:grpSpLocks/>
          </xdr:cNvGrpSpPr>
        </xdr:nvGrpSpPr>
        <xdr:grpSpPr bwMode="auto">
          <a:xfrm>
            <a:off x="6953250" y="29260800"/>
            <a:ext cx="790576" cy="285750"/>
            <a:chOff x="7439024" y="28575000"/>
            <a:chExt cx="790576" cy="285750"/>
          </a:xfrm>
        </xdr:grpSpPr>
        <xdr:sp macro="" textlink="">
          <xdr:nvSpPr>
            <xdr:cNvPr id="44" name="Rectangle 97">
              <a:extLst>
                <a:ext uri="{FF2B5EF4-FFF2-40B4-BE49-F238E27FC236}">
                  <a16:creationId xmlns:a16="http://schemas.microsoft.com/office/drawing/2014/main" id="{8EAA66C1-2AFE-1947-9E87-25007B2FA6D3}"/>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5" name="Rectangle 98">
              <a:extLst>
                <a:ext uri="{FF2B5EF4-FFF2-40B4-BE49-F238E27FC236}">
                  <a16:creationId xmlns:a16="http://schemas.microsoft.com/office/drawing/2014/main" id="{81819DF4-274D-314C-804D-1E555BFEA67D}"/>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32</xdr:col>
      <xdr:colOff>26462</xdr:colOff>
      <xdr:row>35</xdr:row>
      <xdr:rowOff>15871</xdr:rowOff>
    </xdr:from>
    <xdr:to>
      <xdr:col>33</xdr:col>
      <xdr:colOff>158753</xdr:colOff>
      <xdr:row>36</xdr:row>
      <xdr:rowOff>125938</xdr:rowOff>
    </xdr:to>
    <xdr:sp macro="" textlink="">
      <xdr:nvSpPr>
        <xdr:cNvPr id="50" name="Rectangle 102">
          <a:extLst>
            <a:ext uri="{FF2B5EF4-FFF2-40B4-BE49-F238E27FC236}">
              <a16:creationId xmlns:a16="http://schemas.microsoft.com/office/drawing/2014/main" id="{1875308A-81C6-C946-9AB3-4530421F6C4F}"/>
            </a:ext>
            <a:ext uri="{147F2762-F138-4A5C-976F-8EAC2B608ADB}">
              <a16:predDERef xmlns:a16="http://schemas.microsoft.com/office/drawing/2014/main" pred="{B017B534-5ACC-4381-9C1F-201087963AC0}"/>
            </a:ext>
          </a:extLst>
        </xdr:cNvPr>
        <xdr:cNvSpPr>
          <a:spLocks noChangeArrowheads="1"/>
        </xdr:cNvSpPr>
      </xdr:nvSpPr>
      <xdr:spPr bwMode="auto">
        <a:xfrm>
          <a:off x="9138712" y="5381621"/>
          <a:ext cx="407458" cy="258234"/>
        </a:xfrm>
        <a:prstGeom prst="rect">
          <a:avLst/>
        </a:prstGeom>
        <a:solidFill>
          <a:srgbClr val="FFFFFF"/>
        </a:solidFill>
        <a:ln w="9525" algn="ctr">
          <a:solidFill>
            <a:srgbClr val="000000"/>
          </a:solidFill>
          <a:round/>
          <a:headEnd/>
          <a:tailEnd/>
        </a:ln>
      </xdr:spPr>
    </xdr:sp>
    <xdr:clientData/>
  </xdr:twoCellAnchor>
  <xdr:twoCellAnchor>
    <xdr:from>
      <xdr:col>22</xdr:col>
      <xdr:colOff>26462</xdr:colOff>
      <xdr:row>39</xdr:row>
      <xdr:rowOff>5288</xdr:rowOff>
    </xdr:from>
    <xdr:to>
      <xdr:col>31</xdr:col>
      <xdr:colOff>234954</xdr:colOff>
      <xdr:row>40</xdr:row>
      <xdr:rowOff>115355</xdr:rowOff>
    </xdr:to>
    <xdr:grpSp>
      <xdr:nvGrpSpPr>
        <xdr:cNvPr id="51" name="Groupe 93">
          <a:extLst>
            <a:ext uri="{FF2B5EF4-FFF2-40B4-BE49-F238E27FC236}">
              <a16:creationId xmlns:a16="http://schemas.microsoft.com/office/drawing/2014/main" id="{91A76395-0466-064A-A158-06B0984BCD64}"/>
            </a:ext>
            <a:ext uri="{147F2762-F138-4A5C-976F-8EAC2B608ADB}">
              <a16:predDERef xmlns:a16="http://schemas.microsoft.com/office/drawing/2014/main" pred="{B068BE99-79AA-4F5C-B3F9-3F19EAE63430}"/>
            </a:ext>
          </a:extLst>
        </xdr:cNvPr>
        <xdr:cNvGrpSpPr>
          <a:grpSpLocks/>
        </xdr:cNvGrpSpPr>
      </xdr:nvGrpSpPr>
      <xdr:grpSpPr bwMode="auto">
        <a:xfrm>
          <a:off x="5984879" y="5958413"/>
          <a:ext cx="2542117" cy="258234"/>
          <a:chOff x="5295900" y="29260800"/>
          <a:chExt cx="2447926" cy="285750"/>
        </a:xfrm>
      </xdr:grpSpPr>
      <xdr:grpSp>
        <xdr:nvGrpSpPr>
          <xdr:cNvPr id="52" name="Groupe 24">
            <a:extLst>
              <a:ext uri="{FF2B5EF4-FFF2-40B4-BE49-F238E27FC236}">
                <a16:creationId xmlns:a16="http://schemas.microsoft.com/office/drawing/2014/main" id="{8C438206-031A-6E4A-8F7D-9F0911CE3840}"/>
              </a:ext>
            </a:extLst>
          </xdr:cNvPr>
          <xdr:cNvGrpSpPr>
            <a:grpSpLocks/>
          </xdr:cNvGrpSpPr>
        </xdr:nvGrpSpPr>
        <xdr:grpSpPr bwMode="auto">
          <a:xfrm>
            <a:off x="6124574" y="29260800"/>
            <a:ext cx="790576" cy="285750"/>
            <a:chOff x="7439024" y="28575000"/>
            <a:chExt cx="790576" cy="285750"/>
          </a:xfrm>
        </xdr:grpSpPr>
        <xdr:sp macro="" textlink="">
          <xdr:nvSpPr>
            <xdr:cNvPr id="59" name="Rectangle 101">
              <a:extLst>
                <a:ext uri="{FF2B5EF4-FFF2-40B4-BE49-F238E27FC236}">
                  <a16:creationId xmlns:a16="http://schemas.microsoft.com/office/drawing/2014/main" id="{5F5C7815-D75E-1144-9458-5154E354DAF6}"/>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60" name="Rectangle 102">
              <a:extLst>
                <a:ext uri="{FF2B5EF4-FFF2-40B4-BE49-F238E27FC236}">
                  <a16:creationId xmlns:a16="http://schemas.microsoft.com/office/drawing/2014/main" id="{E7D5B207-A51C-514F-9597-7C9E8643EC7D}"/>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53" name="Groupe 25">
            <a:extLst>
              <a:ext uri="{FF2B5EF4-FFF2-40B4-BE49-F238E27FC236}">
                <a16:creationId xmlns:a16="http://schemas.microsoft.com/office/drawing/2014/main" id="{7A14DC2E-8D39-ED4D-9375-D7C34FEB41C8}"/>
              </a:ext>
            </a:extLst>
          </xdr:cNvPr>
          <xdr:cNvGrpSpPr>
            <a:grpSpLocks/>
          </xdr:cNvGrpSpPr>
        </xdr:nvGrpSpPr>
        <xdr:grpSpPr bwMode="auto">
          <a:xfrm>
            <a:off x="5295900" y="29260800"/>
            <a:ext cx="790576" cy="285750"/>
            <a:chOff x="7439024" y="28575000"/>
            <a:chExt cx="790576" cy="285750"/>
          </a:xfrm>
        </xdr:grpSpPr>
        <xdr:sp macro="" textlink="">
          <xdr:nvSpPr>
            <xdr:cNvPr id="57" name="Rectangle 99">
              <a:extLst>
                <a:ext uri="{FF2B5EF4-FFF2-40B4-BE49-F238E27FC236}">
                  <a16:creationId xmlns:a16="http://schemas.microsoft.com/office/drawing/2014/main" id="{252C7A43-BA3F-1447-8416-F1442D6E4DBE}"/>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58" name="Rectangle 100">
              <a:extLst>
                <a:ext uri="{FF2B5EF4-FFF2-40B4-BE49-F238E27FC236}">
                  <a16:creationId xmlns:a16="http://schemas.microsoft.com/office/drawing/2014/main" id="{92CAD3CD-9ADE-704B-AE62-B147AF61F479}"/>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54" name="Groupe 28">
            <a:extLst>
              <a:ext uri="{FF2B5EF4-FFF2-40B4-BE49-F238E27FC236}">
                <a16:creationId xmlns:a16="http://schemas.microsoft.com/office/drawing/2014/main" id="{8DA61FFB-ED7B-CD4F-AABB-60CC32BEBAC1}"/>
              </a:ext>
            </a:extLst>
          </xdr:cNvPr>
          <xdr:cNvGrpSpPr>
            <a:grpSpLocks/>
          </xdr:cNvGrpSpPr>
        </xdr:nvGrpSpPr>
        <xdr:grpSpPr bwMode="auto">
          <a:xfrm>
            <a:off x="6953250" y="29260800"/>
            <a:ext cx="790576" cy="285750"/>
            <a:chOff x="7439024" y="28575000"/>
            <a:chExt cx="790576" cy="285750"/>
          </a:xfrm>
        </xdr:grpSpPr>
        <xdr:sp macro="" textlink="">
          <xdr:nvSpPr>
            <xdr:cNvPr id="55" name="Rectangle 97">
              <a:extLst>
                <a:ext uri="{FF2B5EF4-FFF2-40B4-BE49-F238E27FC236}">
                  <a16:creationId xmlns:a16="http://schemas.microsoft.com/office/drawing/2014/main" id="{3AD50E11-7775-5F45-A098-CF29B23C8388}"/>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56" name="Rectangle 98">
              <a:extLst>
                <a:ext uri="{FF2B5EF4-FFF2-40B4-BE49-F238E27FC236}">
                  <a16:creationId xmlns:a16="http://schemas.microsoft.com/office/drawing/2014/main" id="{537BC973-A8B4-C447-BC2D-D3C5CA225BF5}"/>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32</xdr:col>
      <xdr:colOff>26462</xdr:colOff>
      <xdr:row>39</xdr:row>
      <xdr:rowOff>5288</xdr:rowOff>
    </xdr:from>
    <xdr:to>
      <xdr:col>33</xdr:col>
      <xdr:colOff>158753</xdr:colOff>
      <xdr:row>40</xdr:row>
      <xdr:rowOff>115355</xdr:rowOff>
    </xdr:to>
    <xdr:sp macro="" textlink="">
      <xdr:nvSpPr>
        <xdr:cNvPr id="61" name="Rectangle 102">
          <a:extLst>
            <a:ext uri="{FF2B5EF4-FFF2-40B4-BE49-F238E27FC236}">
              <a16:creationId xmlns:a16="http://schemas.microsoft.com/office/drawing/2014/main" id="{9CD8CC80-8E83-1A40-8564-69F74CE976CE}"/>
            </a:ext>
            <a:ext uri="{147F2762-F138-4A5C-976F-8EAC2B608ADB}">
              <a16:predDERef xmlns:a16="http://schemas.microsoft.com/office/drawing/2014/main" pred="{B017B534-5ACC-4381-9C1F-201087963AC0}"/>
            </a:ext>
          </a:extLst>
        </xdr:cNvPr>
        <xdr:cNvSpPr>
          <a:spLocks noChangeArrowheads="1"/>
        </xdr:cNvSpPr>
      </xdr:nvSpPr>
      <xdr:spPr bwMode="auto">
        <a:xfrm>
          <a:off x="9138712" y="5963705"/>
          <a:ext cx="407458" cy="258233"/>
        </a:xfrm>
        <a:prstGeom prst="rect">
          <a:avLst/>
        </a:prstGeom>
        <a:solidFill>
          <a:srgbClr val="FFFFFF"/>
        </a:solidFill>
        <a:ln w="9525" algn="ctr">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295275</xdr:colOff>
      <xdr:row>1</xdr:row>
      <xdr:rowOff>76200</xdr:rowOff>
    </xdr:from>
    <xdr:to>
      <xdr:col>14</xdr:col>
      <xdr:colOff>838200</xdr:colOff>
      <xdr:row>3</xdr:row>
      <xdr:rowOff>19050</xdr:rowOff>
    </xdr:to>
    <xdr:sp macro="" textlink="">
      <xdr:nvSpPr>
        <xdr:cNvPr id="4465574" name="Rectangle 1">
          <a:extLst>
            <a:ext uri="{FF2B5EF4-FFF2-40B4-BE49-F238E27FC236}">
              <a16:creationId xmlns:a16="http://schemas.microsoft.com/office/drawing/2014/main" id="{C089D900-A01C-43D4-9E35-13511062B90F}"/>
            </a:ext>
          </a:extLst>
        </xdr:cNvPr>
        <xdr:cNvSpPr>
          <a:spLocks noChangeArrowheads="1"/>
        </xdr:cNvSpPr>
      </xdr:nvSpPr>
      <xdr:spPr bwMode="auto">
        <a:xfrm flipH="1">
          <a:off x="9763125" y="238125"/>
          <a:ext cx="542925" cy="276225"/>
        </a:xfrm>
        <a:prstGeom prst="rect">
          <a:avLst/>
        </a:prstGeom>
        <a:solidFill>
          <a:srgbClr val="FFFFFF"/>
        </a:solidFill>
        <a:ln w="9525">
          <a:solidFill>
            <a:srgbClr val="000000"/>
          </a:solidFill>
          <a:round/>
          <a:headEnd/>
          <a:tailEnd/>
        </a:ln>
      </xdr:spPr>
    </xdr:sp>
    <xdr:clientData/>
  </xdr:twoCellAnchor>
  <xdr:twoCellAnchor>
    <xdr:from>
      <xdr:col>8</xdr:col>
      <xdr:colOff>209550</xdr:colOff>
      <xdr:row>3</xdr:row>
      <xdr:rowOff>0</xdr:rowOff>
    </xdr:from>
    <xdr:to>
      <xdr:col>9</xdr:col>
      <xdr:colOff>142875</xdr:colOff>
      <xdr:row>4</xdr:row>
      <xdr:rowOff>57150</xdr:rowOff>
    </xdr:to>
    <xdr:sp macro="" textlink="">
      <xdr:nvSpPr>
        <xdr:cNvPr id="4465575" name="Rectangle 1">
          <a:extLst>
            <a:ext uri="{FF2B5EF4-FFF2-40B4-BE49-F238E27FC236}">
              <a16:creationId xmlns:a16="http://schemas.microsoft.com/office/drawing/2014/main" id="{05CC7070-B657-474F-9A8F-8CCDF69603AE}"/>
            </a:ext>
          </a:extLst>
        </xdr:cNvPr>
        <xdr:cNvSpPr>
          <a:spLocks noChangeArrowheads="1"/>
        </xdr:cNvSpPr>
      </xdr:nvSpPr>
      <xdr:spPr bwMode="auto">
        <a:xfrm>
          <a:off x="4838700" y="495300"/>
          <a:ext cx="342900" cy="228600"/>
        </a:xfrm>
        <a:prstGeom prst="rect">
          <a:avLst/>
        </a:pr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390769</xdr:colOff>
      <xdr:row>2</xdr:row>
      <xdr:rowOff>1</xdr:rowOff>
    </xdr:from>
    <xdr:to>
      <xdr:col>3</xdr:col>
      <xdr:colOff>807046</xdr:colOff>
      <xdr:row>3</xdr:row>
      <xdr:rowOff>69471</xdr:rowOff>
    </xdr:to>
    <xdr:sp macro="" textlink="">
      <xdr:nvSpPr>
        <xdr:cNvPr id="2" name="Rectangle 1">
          <a:extLst>
            <a:ext uri="{FF2B5EF4-FFF2-40B4-BE49-F238E27FC236}">
              <a16:creationId xmlns:a16="http://schemas.microsoft.com/office/drawing/2014/main" id="{D0980963-61F4-CB4E-A51B-33AC740D98DF}"/>
            </a:ext>
          </a:extLst>
        </xdr:cNvPr>
        <xdr:cNvSpPr/>
      </xdr:nvSpPr>
      <xdr:spPr bwMode="auto">
        <a:xfrm>
          <a:off x="3008923" y="312616"/>
          <a:ext cx="416277" cy="22577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35</xdr:col>
      <xdr:colOff>36287</xdr:colOff>
      <xdr:row>3</xdr:row>
      <xdr:rowOff>145144</xdr:rowOff>
    </xdr:from>
    <xdr:to>
      <xdr:col>36</xdr:col>
      <xdr:colOff>271135</xdr:colOff>
      <xdr:row>5</xdr:row>
      <xdr:rowOff>44350</xdr:rowOff>
    </xdr:to>
    <xdr:sp macro="" textlink="">
      <xdr:nvSpPr>
        <xdr:cNvPr id="2" name="Rectangle 1">
          <a:extLst>
            <a:ext uri="{FF2B5EF4-FFF2-40B4-BE49-F238E27FC236}">
              <a16:creationId xmlns:a16="http://schemas.microsoft.com/office/drawing/2014/main" id="{949A1865-A0D6-B348-80DE-00C1E186F015}"/>
            </a:ext>
          </a:extLst>
        </xdr:cNvPr>
        <xdr:cNvSpPr/>
      </xdr:nvSpPr>
      <xdr:spPr bwMode="auto">
        <a:xfrm>
          <a:off x="7175501" y="635001"/>
          <a:ext cx="416277" cy="22577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719667</xdr:colOff>
      <xdr:row>2</xdr:row>
      <xdr:rowOff>127000</xdr:rowOff>
    </xdr:from>
    <xdr:to>
      <xdr:col>4</xdr:col>
      <xdr:colOff>232833</xdr:colOff>
      <xdr:row>4</xdr:row>
      <xdr:rowOff>42333</xdr:rowOff>
    </xdr:to>
    <xdr:sp macro="" textlink="">
      <xdr:nvSpPr>
        <xdr:cNvPr id="2" name="Rectangle 1">
          <a:extLst>
            <a:ext uri="{FF2B5EF4-FFF2-40B4-BE49-F238E27FC236}">
              <a16:creationId xmlns:a16="http://schemas.microsoft.com/office/drawing/2014/main" id="{19061A84-2EB6-5144-BD6B-33CF12FE0F82}"/>
            </a:ext>
          </a:extLst>
        </xdr:cNvPr>
        <xdr:cNvSpPr/>
      </xdr:nvSpPr>
      <xdr:spPr bwMode="auto">
        <a:xfrm>
          <a:off x="3238500" y="282222"/>
          <a:ext cx="416277" cy="22577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55</xdr:col>
      <xdr:colOff>0</xdr:colOff>
      <xdr:row>24</xdr:row>
      <xdr:rowOff>28575</xdr:rowOff>
    </xdr:from>
    <xdr:to>
      <xdr:col>55</xdr:col>
      <xdr:colOff>0</xdr:colOff>
      <xdr:row>39</xdr:row>
      <xdr:rowOff>0</xdr:rowOff>
    </xdr:to>
    <xdr:grpSp>
      <xdr:nvGrpSpPr>
        <xdr:cNvPr id="4647566" name="Group 2656">
          <a:extLst>
            <a:ext uri="{FF2B5EF4-FFF2-40B4-BE49-F238E27FC236}">
              <a16:creationId xmlns:a16="http://schemas.microsoft.com/office/drawing/2014/main" id="{7BA56958-5781-4B58-90C2-0CDE159E0F06}"/>
            </a:ext>
          </a:extLst>
        </xdr:cNvPr>
        <xdr:cNvGrpSpPr>
          <a:grpSpLocks/>
        </xdr:cNvGrpSpPr>
      </xdr:nvGrpSpPr>
      <xdr:grpSpPr bwMode="auto">
        <a:xfrm>
          <a:off x="30802792" y="4521200"/>
          <a:ext cx="0" cy="2670175"/>
          <a:chOff x="596" y="422"/>
          <a:chExt cx="56" cy="610"/>
        </a:xfrm>
      </xdr:grpSpPr>
      <xdr:grpSp>
        <xdr:nvGrpSpPr>
          <xdr:cNvPr id="4647628" name="Group 2657">
            <a:extLst>
              <a:ext uri="{FF2B5EF4-FFF2-40B4-BE49-F238E27FC236}">
                <a16:creationId xmlns:a16="http://schemas.microsoft.com/office/drawing/2014/main" id="{FC6145EC-BBB8-42E6-9921-2AFCBB6D50D0}"/>
              </a:ext>
            </a:extLst>
          </xdr:cNvPr>
          <xdr:cNvGrpSpPr>
            <a:grpSpLocks/>
          </xdr:cNvGrpSpPr>
        </xdr:nvGrpSpPr>
        <xdr:grpSpPr bwMode="auto">
          <a:xfrm>
            <a:off x="596" y="422"/>
            <a:ext cx="56" cy="25"/>
            <a:chOff x="2755" y="422"/>
            <a:chExt cx="56" cy="32"/>
          </a:xfrm>
        </xdr:grpSpPr>
        <xdr:sp macro="" textlink="">
          <xdr:nvSpPr>
            <xdr:cNvPr id="4647686" name="Rectangle 2658">
              <a:extLst>
                <a:ext uri="{FF2B5EF4-FFF2-40B4-BE49-F238E27FC236}">
                  <a16:creationId xmlns:a16="http://schemas.microsoft.com/office/drawing/2014/main" id="{C5020625-9824-48D5-9BD6-12ECB2371108}"/>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87" name="Rectangle 2659">
              <a:extLst>
                <a:ext uri="{FF2B5EF4-FFF2-40B4-BE49-F238E27FC236}">
                  <a16:creationId xmlns:a16="http://schemas.microsoft.com/office/drawing/2014/main" id="{79CCFA03-1E50-4EF2-8424-242A7AE7AE74}"/>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29" name="Group 2660">
            <a:extLst>
              <a:ext uri="{FF2B5EF4-FFF2-40B4-BE49-F238E27FC236}">
                <a16:creationId xmlns:a16="http://schemas.microsoft.com/office/drawing/2014/main" id="{2C62091A-7EE2-4FBF-B38E-5D9043C74B7C}"/>
              </a:ext>
            </a:extLst>
          </xdr:cNvPr>
          <xdr:cNvGrpSpPr>
            <a:grpSpLocks/>
          </xdr:cNvGrpSpPr>
        </xdr:nvGrpSpPr>
        <xdr:grpSpPr bwMode="auto">
          <a:xfrm>
            <a:off x="596" y="452"/>
            <a:ext cx="56" cy="25"/>
            <a:chOff x="2755" y="422"/>
            <a:chExt cx="56" cy="32"/>
          </a:xfrm>
        </xdr:grpSpPr>
        <xdr:sp macro="" textlink="">
          <xdr:nvSpPr>
            <xdr:cNvPr id="4647684" name="Rectangle 2661">
              <a:extLst>
                <a:ext uri="{FF2B5EF4-FFF2-40B4-BE49-F238E27FC236}">
                  <a16:creationId xmlns:a16="http://schemas.microsoft.com/office/drawing/2014/main" id="{81E0258F-2142-45AF-84CA-283CC3468DAA}"/>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85" name="Rectangle 2662">
              <a:extLst>
                <a:ext uri="{FF2B5EF4-FFF2-40B4-BE49-F238E27FC236}">
                  <a16:creationId xmlns:a16="http://schemas.microsoft.com/office/drawing/2014/main" id="{9B0E582C-A9BC-4D67-87BD-D870C118AC1C}"/>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0" name="Group 2663">
            <a:extLst>
              <a:ext uri="{FF2B5EF4-FFF2-40B4-BE49-F238E27FC236}">
                <a16:creationId xmlns:a16="http://schemas.microsoft.com/office/drawing/2014/main" id="{6DC74888-F7F1-4E8E-B66A-25E5E6BD89DC}"/>
              </a:ext>
            </a:extLst>
          </xdr:cNvPr>
          <xdr:cNvGrpSpPr>
            <a:grpSpLocks/>
          </xdr:cNvGrpSpPr>
        </xdr:nvGrpSpPr>
        <xdr:grpSpPr bwMode="auto">
          <a:xfrm>
            <a:off x="596" y="482"/>
            <a:ext cx="56" cy="25"/>
            <a:chOff x="2755" y="422"/>
            <a:chExt cx="56" cy="32"/>
          </a:xfrm>
        </xdr:grpSpPr>
        <xdr:sp macro="" textlink="">
          <xdr:nvSpPr>
            <xdr:cNvPr id="4647682" name="Rectangle 2664">
              <a:extLst>
                <a:ext uri="{FF2B5EF4-FFF2-40B4-BE49-F238E27FC236}">
                  <a16:creationId xmlns:a16="http://schemas.microsoft.com/office/drawing/2014/main" id="{CA0ECD10-4B17-49EB-8B27-6CB346E6A1AF}"/>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83" name="Rectangle 2665">
              <a:extLst>
                <a:ext uri="{FF2B5EF4-FFF2-40B4-BE49-F238E27FC236}">
                  <a16:creationId xmlns:a16="http://schemas.microsoft.com/office/drawing/2014/main" id="{05170C98-B33E-4248-826A-6968ACCB3E44}"/>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1" name="Group 2666">
            <a:extLst>
              <a:ext uri="{FF2B5EF4-FFF2-40B4-BE49-F238E27FC236}">
                <a16:creationId xmlns:a16="http://schemas.microsoft.com/office/drawing/2014/main" id="{2DAB19D4-FE29-4E08-B0EB-DDAB764437EC}"/>
              </a:ext>
            </a:extLst>
          </xdr:cNvPr>
          <xdr:cNvGrpSpPr>
            <a:grpSpLocks/>
          </xdr:cNvGrpSpPr>
        </xdr:nvGrpSpPr>
        <xdr:grpSpPr bwMode="auto">
          <a:xfrm>
            <a:off x="596" y="512"/>
            <a:ext cx="56" cy="25"/>
            <a:chOff x="2755" y="422"/>
            <a:chExt cx="56" cy="32"/>
          </a:xfrm>
        </xdr:grpSpPr>
        <xdr:sp macro="" textlink="">
          <xdr:nvSpPr>
            <xdr:cNvPr id="4647680" name="Rectangle 2667">
              <a:extLst>
                <a:ext uri="{FF2B5EF4-FFF2-40B4-BE49-F238E27FC236}">
                  <a16:creationId xmlns:a16="http://schemas.microsoft.com/office/drawing/2014/main" id="{899CDD0E-14D8-4D26-871E-E630E845748B}"/>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81" name="Rectangle 2668">
              <a:extLst>
                <a:ext uri="{FF2B5EF4-FFF2-40B4-BE49-F238E27FC236}">
                  <a16:creationId xmlns:a16="http://schemas.microsoft.com/office/drawing/2014/main" id="{E6F7E4B3-5058-4D4A-A5BF-1C560471AB73}"/>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2" name="Group 2669">
            <a:extLst>
              <a:ext uri="{FF2B5EF4-FFF2-40B4-BE49-F238E27FC236}">
                <a16:creationId xmlns:a16="http://schemas.microsoft.com/office/drawing/2014/main" id="{5EC246CA-6156-4D63-A93C-C824107A4991}"/>
              </a:ext>
            </a:extLst>
          </xdr:cNvPr>
          <xdr:cNvGrpSpPr>
            <a:grpSpLocks/>
          </xdr:cNvGrpSpPr>
        </xdr:nvGrpSpPr>
        <xdr:grpSpPr bwMode="auto">
          <a:xfrm>
            <a:off x="596" y="542"/>
            <a:ext cx="56" cy="25"/>
            <a:chOff x="2755" y="422"/>
            <a:chExt cx="56" cy="32"/>
          </a:xfrm>
        </xdr:grpSpPr>
        <xdr:sp macro="" textlink="">
          <xdr:nvSpPr>
            <xdr:cNvPr id="4647678" name="Rectangle 2670">
              <a:extLst>
                <a:ext uri="{FF2B5EF4-FFF2-40B4-BE49-F238E27FC236}">
                  <a16:creationId xmlns:a16="http://schemas.microsoft.com/office/drawing/2014/main" id="{5D7A3A77-4D5C-46B4-AD97-E6B6421AC22F}"/>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79" name="Rectangle 2671">
              <a:extLst>
                <a:ext uri="{FF2B5EF4-FFF2-40B4-BE49-F238E27FC236}">
                  <a16:creationId xmlns:a16="http://schemas.microsoft.com/office/drawing/2014/main" id="{FD90C04E-99C7-40D7-A724-C90B7BB600F7}"/>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3" name="Group 2672">
            <a:extLst>
              <a:ext uri="{FF2B5EF4-FFF2-40B4-BE49-F238E27FC236}">
                <a16:creationId xmlns:a16="http://schemas.microsoft.com/office/drawing/2014/main" id="{7B22B0E5-D8DB-41BE-A35D-B91275763E72}"/>
              </a:ext>
            </a:extLst>
          </xdr:cNvPr>
          <xdr:cNvGrpSpPr>
            <a:grpSpLocks/>
          </xdr:cNvGrpSpPr>
        </xdr:nvGrpSpPr>
        <xdr:grpSpPr bwMode="auto">
          <a:xfrm>
            <a:off x="596" y="577"/>
            <a:ext cx="56" cy="25"/>
            <a:chOff x="2755" y="422"/>
            <a:chExt cx="56" cy="32"/>
          </a:xfrm>
        </xdr:grpSpPr>
        <xdr:sp macro="" textlink="">
          <xdr:nvSpPr>
            <xdr:cNvPr id="4647676" name="Rectangle 2673">
              <a:extLst>
                <a:ext uri="{FF2B5EF4-FFF2-40B4-BE49-F238E27FC236}">
                  <a16:creationId xmlns:a16="http://schemas.microsoft.com/office/drawing/2014/main" id="{A99AB5C1-04B0-4FD2-806C-CC38D61D0232}"/>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77" name="Rectangle 2674">
              <a:extLst>
                <a:ext uri="{FF2B5EF4-FFF2-40B4-BE49-F238E27FC236}">
                  <a16:creationId xmlns:a16="http://schemas.microsoft.com/office/drawing/2014/main" id="{52D53BE7-238E-48E2-B3EE-39BEF95C1159}"/>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4" name="Group 2675">
            <a:extLst>
              <a:ext uri="{FF2B5EF4-FFF2-40B4-BE49-F238E27FC236}">
                <a16:creationId xmlns:a16="http://schemas.microsoft.com/office/drawing/2014/main" id="{F70CE041-7CB0-4540-8B0C-A1F3458D2B31}"/>
              </a:ext>
            </a:extLst>
          </xdr:cNvPr>
          <xdr:cNvGrpSpPr>
            <a:grpSpLocks/>
          </xdr:cNvGrpSpPr>
        </xdr:nvGrpSpPr>
        <xdr:grpSpPr bwMode="auto">
          <a:xfrm>
            <a:off x="596" y="607"/>
            <a:ext cx="56" cy="25"/>
            <a:chOff x="2755" y="422"/>
            <a:chExt cx="56" cy="32"/>
          </a:xfrm>
        </xdr:grpSpPr>
        <xdr:sp macro="" textlink="">
          <xdr:nvSpPr>
            <xdr:cNvPr id="4647674" name="Rectangle 2676">
              <a:extLst>
                <a:ext uri="{FF2B5EF4-FFF2-40B4-BE49-F238E27FC236}">
                  <a16:creationId xmlns:a16="http://schemas.microsoft.com/office/drawing/2014/main" id="{53038671-BF04-4EDF-A066-78238FE4B8CC}"/>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75" name="Rectangle 2677">
              <a:extLst>
                <a:ext uri="{FF2B5EF4-FFF2-40B4-BE49-F238E27FC236}">
                  <a16:creationId xmlns:a16="http://schemas.microsoft.com/office/drawing/2014/main" id="{821C90DB-78F6-48F6-98CD-77E3CE0F041D}"/>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5" name="Group 2678">
            <a:extLst>
              <a:ext uri="{FF2B5EF4-FFF2-40B4-BE49-F238E27FC236}">
                <a16:creationId xmlns:a16="http://schemas.microsoft.com/office/drawing/2014/main" id="{9D344F04-F193-4AF2-AF1C-CE622E0C3EAE}"/>
              </a:ext>
            </a:extLst>
          </xdr:cNvPr>
          <xdr:cNvGrpSpPr>
            <a:grpSpLocks/>
          </xdr:cNvGrpSpPr>
        </xdr:nvGrpSpPr>
        <xdr:grpSpPr bwMode="auto">
          <a:xfrm>
            <a:off x="596" y="637"/>
            <a:ext cx="56" cy="25"/>
            <a:chOff x="2755" y="422"/>
            <a:chExt cx="56" cy="32"/>
          </a:xfrm>
        </xdr:grpSpPr>
        <xdr:sp macro="" textlink="">
          <xdr:nvSpPr>
            <xdr:cNvPr id="4647672" name="Rectangle 2679">
              <a:extLst>
                <a:ext uri="{FF2B5EF4-FFF2-40B4-BE49-F238E27FC236}">
                  <a16:creationId xmlns:a16="http://schemas.microsoft.com/office/drawing/2014/main" id="{987690BF-7B63-4DA1-82FD-F4AB0B9D0460}"/>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73" name="Rectangle 2680">
              <a:extLst>
                <a:ext uri="{FF2B5EF4-FFF2-40B4-BE49-F238E27FC236}">
                  <a16:creationId xmlns:a16="http://schemas.microsoft.com/office/drawing/2014/main" id="{14B22FCF-B5EE-4B17-812F-1400D5FB912C}"/>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6" name="Group 2681">
            <a:extLst>
              <a:ext uri="{FF2B5EF4-FFF2-40B4-BE49-F238E27FC236}">
                <a16:creationId xmlns:a16="http://schemas.microsoft.com/office/drawing/2014/main" id="{F1937722-4D66-49E7-B324-3C2D03188D5A}"/>
              </a:ext>
            </a:extLst>
          </xdr:cNvPr>
          <xdr:cNvGrpSpPr>
            <a:grpSpLocks/>
          </xdr:cNvGrpSpPr>
        </xdr:nvGrpSpPr>
        <xdr:grpSpPr bwMode="auto">
          <a:xfrm>
            <a:off x="596" y="667"/>
            <a:ext cx="56" cy="25"/>
            <a:chOff x="2755" y="422"/>
            <a:chExt cx="56" cy="32"/>
          </a:xfrm>
        </xdr:grpSpPr>
        <xdr:sp macro="" textlink="">
          <xdr:nvSpPr>
            <xdr:cNvPr id="4647670" name="Rectangle 2682">
              <a:extLst>
                <a:ext uri="{FF2B5EF4-FFF2-40B4-BE49-F238E27FC236}">
                  <a16:creationId xmlns:a16="http://schemas.microsoft.com/office/drawing/2014/main" id="{D3D5AAC4-4023-4E92-A2D8-A057C06FCD1B}"/>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71" name="Rectangle 2683">
              <a:extLst>
                <a:ext uri="{FF2B5EF4-FFF2-40B4-BE49-F238E27FC236}">
                  <a16:creationId xmlns:a16="http://schemas.microsoft.com/office/drawing/2014/main" id="{0C8DDDDD-BCC5-4CCF-BED4-ECD241634248}"/>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7" name="Group 2684">
            <a:extLst>
              <a:ext uri="{FF2B5EF4-FFF2-40B4-BE49-F238E27FC236}">
                <a16:creationId xmlns:a16="http://schemas.microsoft.com/office/drawing/2014/main" id="{1C102FB4-5D01-4F8F-914C-32335EF5C4CE}"/>
              </a:ext>
            </a:extLst>
          </xdr:cNvPr>
          <xdr:cNvGrpSpPr>
            <a:grpSpLocks/>
          </xdr:cNvGrpSpPr>
        </xdr:nvGrpSpPr>
        <xdr:grpSpPr bwMode="auto">
          <a:xfrm>
            <a:off x="596" y="697"/>
            <a:ext cx="56" cy="25"/>
            <a:chOff x="2755" y="422"/>
            <a:chExt cx="56" cy="32"/>
          </a:xfrm>
        </xdr:grpSpPr>
        <xdr:sp macro="" textlink="">
          <xdr:nvSpPr>
            <xdr:cNvPr id="4647668" name="Rectangle 2685">
              <a:extLst>
                <a:ext uri="{FF2B5EF4-FFF2-40B4-BE49-F238E27FC236}">
                  <a16:creationId xmlns:a16="http://schemas.microsoft.com/office/drawing/2014/main" id="{13521FEC-1AEC-4A35-94BA-905B875F8148}"/>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69" name="Rectangle 2686">
              <a:extLst>
                <a:ext uri="{FF2B5EF4-FFF2-40B4-BE49-F238E27FC236}">
                  <a16:creationId xmlns:a16="http://schemas.microsoft.com/office/drawing/2014/main" id="{39CFAE1B-3616-4D93-823B-D74C7C0FC6FB}"/>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8" name="Group 2687">
            <a:extLst>
              <a:ext uri="{FF2B5EF4-FFF2-40B4-BE49-F238E27FC236}">
                <a16:creationId xmlns:a16="http://schemas.microsoft.com/office/drawing/2014/main" id="{02327DEC-E51E-49B0-88E2-450D673924F0}"/>
              </a:ext>
            </a:extLst>
          </xdr:cNvPr>
          <xdr:cNvGrpSpPr>
            <a:grpSpLocks/>
          </xdr:cNvGrpSpPr>
        </xdr:nvGrpSpPr>
        <xdr:grpSpPr bwMode="auto">
          <a:xfrm>
            <a:off x="596" y="732"/>
            <a:ext cx="56" cy="25"/>
            <a:chOff x="2755" y="422"/>
            <a:chExt cx="56" cy="32"/>
          </a:xfrm>
        </xdr:grpSpPr>
        <xdr:sp macro="" textlink="">
          <xdr:nvSpPr>
            <xdr:cNvPr id="4647666" name="Rectangle 2688">
              <a:extLst>
                <a:ext uri="{FF2B5EF4-FFF2-40B4-BE49-F238E27FC236}">
                  <a16:creationId xmlns:a16="http://schemas.microsoft.com/office/drawing/2014/main" id="{C455901A-D9D5-4862-AA7C-26E491089042}"/>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67" name="Rectangle 2689">
              <a:extLst>
                <a:ext uri="{FF2B5EF4-FFF2-40B4-BE49-F238E27FC236}">
                  <a16:creationId xmlns:a16="http://schemas.microsoft.com/office/drawing/2014/main" id="{54128CD6-5BF6-4897-9454-4978D30D27BB}"/>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39" name="Group 2690">
            <a:extLst>
              <a:ext uri="{FF2B5EF4-FFF2-40B4-BE49-F238E27FC236}">
                <a16:creationId xmlns:a16="http://schemas.microsoft.com/office/drawing/2014/main" id="{6E509A2F-C5F9-4A61-B5E1-0D3264DD195B}"/>
              </a:ext>
            </a:extLst>
          </xdr:cNvPr>
          <xdr:cNvGrpSpPr>
            <a:grpSpLocks/>
          </xdr:cNvGrpSpPr>
        </xdr:nvGrpSpPr>
        <xdr:grpSpPr bwMode="auto">
          <a:xfrm>
            <a:off x="596" y="762"/>
            <a:ext cx="56" cy="25"/>
            <a:chOff x="2755" y="422"/>
            <a:chExt cx="56" cy="32"/>
          </a:xfrm>
        </xdr:grpSpPr>
        <xdr:sp macro="" textlink="">
          <xdr:nvSpPr>
            <xdr:cNvPr id="4647664" name="Rectangle 2691">
              <a:extLst>
                <a:ext uri="{FF2B5EF4-FFF2-40B4-BE49-F238E27FC236}">
                  <a16:creationId xmlns:a16="http://schemas.microsoft.com/office/drawing/2014/main" id="{FA1E0DAE-7A73-4457-B1CD-5A430CDD2780}"/>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65" name="Rectangle 2692">
              <a:extLst>
                <a:ext uri="{FF2B5EF4-FFF2-40B4-BE49-F238E27FC236}">
                  <a16:creationId xmlns:a16="http://schemas.microsoft.com/office/drawing/2014/main" id="{48CADA00-5276-45F3-ACF9-FE1BDEA7B446}"/>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40" name="Group 2693">
            <a:extLst>
              <a:ext uri="{FF2B5EF4-FFF2-40B4-BE49-F238E27FC236}">
                <a16:creationId xmlns:a16="http://schemas.microsoft.com/office/drawing/2014/main" id="{6A1E6ACF-FB80-4C78-BB83-A328E2CAC8D4}"/>
              </a:ext>
            </a:extLst>
          </xdr:cNvPr>
          <xdr:cNvGrpSpPr>
            <a:grpSpLocks/>
          </xdr:cNvGrpSpPr>
        </xdr:nvGrpSpPr>
        <xdr:grpSpPr bwMode="auto">
          <a:xfrm>
            <a:off x="596" y="792"/>
            <a:ext cx="56" cy="25"/>
            <a:chOff x="2755" y="422"/>
            <a:chExt cx="56" cy="32"/>
          </a:xfrm>
        </xdr:grpSpPr>
        <xdr:sp macro="" textlink="">
          <xdr:nvSpPr>
            <xdr:cNvPr id="4647662" name="Rectangle 2694">
              <a:extLst>
                <a:ext uri="{FF2B5EF4-FFF2-40B4-BE49-F238E27FC236}">
                  <a16:creationId xmlns:a16="http://schemas.microsoft.com/office/drawing/2014/main" id="{1A2080A7-4D04-465D-B737-46887099DD17}"/>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63" name="Rectangle 2695">
              <a:extLst>
                <a:ext uri="{FF2B5EF4-FFF2-40B4-BE49-F238E27FC236}">
                  <a16:creationId xmlns:a16="http://schemas.microsoft.com/office/drawing/2014/main" id="{B55C53E9-5F4A-4A2D-892C-229A706533B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41" name="Group 2696">
            <a:extLst>
              <a:ext uri="{FF2B5EF4-FFF2-40B4-BE49-F238E27FC236}">
                <a16:creationId xmlns:a16="http://schemas.microsoft.com/office/drawing/2014/main" id="{56166259-65AE-41BC-ACD3-2A05D743FCDD}"/>
              </a:ext>
            </a:extLst>
          </xdr:cNvPr>
          <xdr:cNvGrpSpPr>
            <a:grpSpLocks/>
          </xdr:cNvGrpSpPr>
        </xdr:nvGrpSpPr>
        <xdr:grpSpPr bwMode="auto">
          <a:xfrm>
            <a:off x="596" y="822"/>
            <a:ext cx="56" cy="25"/>
            <a:chOff x="2755" y="422"/>
            <a:chExt cx="56" cy="32"/>
          </a:xfrm>
        </xdr:grpSpPr>
        <xdr:sp macro="" textlink="">
          <xdr:nvSpPr>
            <xdr:cNvPr id="4647660" name="Rectangle 2697">
              <a:extLst>
                <a:ext uri="{FF2B5EF4-FFF2-40B4-BE49-F238E27FC236}">
                  <a16:creationId xmlns:a16="http://schemas.microsoft.com/office/drawing/2014/main" id="{886D9479-DAE1-462B-8DAA-812472335751}"/>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61" name="Rectangle 2698">
              <a:extLst>
                <a:ext uri="{FF2B5EF4-FFF2-40B4-BE49-F238E27FC236}">
                  <a16:creationId xmlns:a16="http://schemas.microsoft.com/office/drawing/2014/main" id="{F0B3F168-7EC4-41F2-97DC-7FB159F76740}"/>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42" name="Group 2699">
            <a:extLst>
              <a:ext uri="{FF2B5EF4-FFF2-40B4-BE49-F238E27FC236}">
                <a16:creationId xmlns:a16="http://schemas.microsoft.com/office/drawing/2014/main" id="{6909084D-E35D-46D4-BB2E-66BFFA40587A}"/>
              </a:ext>
            </a:extLst>
          </xdr:cNvPr>
          <xdr:cNvGrpSpPr>
            <a:grpSpLocks/>
          </xdr:cNvGrpSpPr>
        </xdr:nvGrpSpPr>
        <xdr:grpSpPr bwMode="auto">
          <a:xfrm>
            <a:off x="596" y="852"/>
            <a:ext cx="56" cy="25"/>
            <a:chOff x="2755" y="422"/>
            <a:chExt cx="56" cy="32"/>
          </a:xfrm>
        </xdr:grpSpPr>
        <xdr:sp macro="" textlink="">
          <xdr:nvSpPr>
            <xdr:cNvPr id="4647658" name="Rectangle 2700">
              <a:extLst>
                <a:ext uri="{FF2B5EF4-FFF2-40B4-BE49-F238E27FC236}">
                  <a16:creationId xmlns:a16="http://schemas.microsoft.com/office/drawing/2014/main" id="{0077014B-A284-4EB6-990A-F71915327AAA}"/>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59" name="Rectangle 2701">
              <a:extLst>
                <a:ext uri="{FF2B5EF4-FFF2-40B4-BE49-F238E27FC236}">
                  <a16:creationId xmlns:a16="http://schemas.microsoft.com/office/drawing/2014/main" id="{31C4014A-E79A-4F6A-ADE2-E7C27989100C}"/>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43" name="Group 2702">
            <a:extLst>
              <a:ext uri="{FF2B5EF4-FFF2-40B4-BE49-F238E27FC236}">
                <a16:creationId xmlns:a16="http://schemas.microsoft.com/office/drawing/2014/main" id="{04FD8A1B-7BBE-43D6-BD24-893E366C0B8E}"/>
              </a:ext>
            </a:extLst>
          </xdr:cNvPr>
          <xdr:cNvGrpSpPr>
            <a:grpSpLocks/>
          </xdr:cNvGrpSpPr>
        </xdr:nvGrpSpPr>
        <xdr:grpSpPr bwMode="auto">
          <a:xfrm>
            <a:off x="596" y="887"/>
            <a:ext cx="56" cy="25"/>
            <a:chOff x="2755" y="422"/>
            <a:chExt cx="56" cy="32"/>
          </a:xfrm>
        </xdr:grpSpPr>
        <xdr:sp macro="" textlink="">
          <xdr:nvSpPr>
            <xdr:cNvPr id="4647656" name="Rectangle 2703">
              <a:extLst>
                <a:ext uri="{FF2B5EF4-FFF2-40B4-BE49-F238E27FC236}">
                  <a16:creationId xmlns:a16="http://schemas.microsoft.com/office/drawing/2014/main" id="{EE5ECC63-DEBD-4770-AC99-3D3A269D6F84}"/>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57" name="Rectangle 2704">
              <a:extLst>
                <a:ext uri="{FF2B5EF4-FFF2-40B4-BE49-F238E27FC236}">
                  <a16:creationId xmlns:a16="http://schemas.microsoft.com/office/drawing/2014/main" id="{464DA753-671C-47FB-9A18-4A6B038B3C24}"/>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44" name="Group 2705">
            <a:extLst>
              <a:ext uri="{FF2B5EF4-FFF2-40B4-BE49-F238E27FC236}">
                <a16:creationId xmlns:a16="http://schemas.microsoft.com/office/drawing/2014/main" id="{C28C8054-D40C-4868-8A39-CDAB2870ED51}"/>
              </a:ext>
            </a:extLst>
          </xdr:cNvPr>
          <xdr:cNvGrpSpPr>
            <a:grpSpLocks/>
          </xdr:cNvGrpSpPr>
        </xdr:nvGrpSpPr>
        <xdr:grpSpPr bwMode="auto">
          <a:xfrm>
            <a:off x="596" y="917"/>
            <a:ext cx="56" cy="25"/>
            <a:chOff x="2755" y="422"/>
            <a:chExt cx="56" cy="32"/>
          </a:xfrm>
        </xdr:grpSpPr>
        <xdr:sp macro="" textlink="">
          <xdr:nvSpPr>
            <xdr:cNvPr id="4647654" name="Rectangle 2706">
              <a:extLst>
                <a:ext uri="{FF2B5EF4-FFF2-40B4-BE49-F238E27FC236}">
                  <a16:creationId xmlns:a16="http://schemas.microsoft.com/office/drawing/2014/main" id="{9A483130-2787-4D70-90AC-27E84D9664B9}"/>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55" name="Rectangle 2707">
              <a:extLst>
                <a:ext uri="{FF2B5EF4-FFF2-40B4-BE49-F238E27FC236}">
                  <a16:creationId xmlns:a16="http://schemas.microsoft.com/office/drawing/2014/main" id="{CC0E60CD-1BFF-44D7-A5D8-A4426A75A5E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45" name="Group 2708">
            <a:extLst>
              <a:ext uri="{FF2B5EF4-FFF2-40B4-BE49-F238E27FC236}">
                <a16:creationId xmlns:a16="http://schemas.microsoft.com/office/drawing/2014/main" id="{D7372DAC-8D80-457B-9444-A53355A52244}"/>
              </a:ext>
            </a:extLst>
          </xdr:cNvPr>
          <xdr:cNvGrpSpPr>
            <a:grpSpLocks/>
          </xdr:cNvGrpSpPr>
        </xdr:nvGrpSpPr>
        <xdr:grpSpPr bwMode="auto">
          <a:xfrm>
            <a:off x="596" y="947"/>
            <a:ext cx="56" cy="25"/>
            <a:chOff x="2755" y="422"/>
            <a:chExt cx="56" cy="32"/>
          </a:xfrm>
        </xdr:grpSpPr>
        <xdr:sp macro="" textlink="">
          <xdr:nvSpPr>
            <xdr:cNvPr id="4647652" name="Rectangle 2709">
              <a:extLst>
                <a:ext uri="{FF2B5EF4-FFF2-40B4-BE49-F238E27FC236}">
                  <a16:creationId xmlns:a16="http://schemas.microsoft.com/office/drawing/2014/main" id="{2430DD71-1789-4E2C-84C2-9E79E87ABC7A}"/>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53" name="Rectangle 2710">
              <a:extLst>
                <a:ext uri="{FF2B5EF4-FFF2-40B4-BE49-F238E27FC236}">
                  <a16:creationId xmlns:a16="http://schemas.microsoft.com/office/drawing/2014/main" id="{C32BE2BA-9645-4A15-9BE3-3D741BCEC426}"/>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46" name="Group 2711">
            <a:extLst>
              <a:ext uri="{FF2B5EF4-FFF2-40B4-BE49-F238E27FC236}">
                <a16:creationId xmlns:a16="http://schemas.microsoft.com/office/drawing/2014/main" id="{0D1095CC-CCC0-431E-8E2B-6931F3F27A9C}"/>
              </a:ext>
            </a:extLst>
          </xdr:cNvPr>
          <xdr:cNvGrpSpPr>
            <a:grpSpLocks/>
          </xdr:cNvGrpSpPr>
        </xdr:nvGrpSpPr>
        <xdr:grpSpPr bwMode="auto">
          <a:xfrm>
            <a:off x="596" y="977"/>
            <a:ext cx="56" cy="25"/>
            <a:chOff x="2755" y="422"/>
            <a:chExt cx="56" cy="32"/>
          </a:xfrm>
        </xdr:grpSpPr>
        <xdr:sp macro="" textlink="">
          <xdr:nvSpPr>
            <xdr:cNvPr id="4647650" name="Rectangle 2712">
              <a:extLst>
                <a:ext uri="{FF2B5EF4-FFF2-40B4-BE49-F238E27FC236}">
                  <a16:creationId xmlns:a16="http://schemas.microsoft.com/office/drawing/2014/main" id="{7339A434-1D2E-405C-9C93-D34B1E89DC46}"/>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51" name="Rectangle 2713">
              <a:extLst>
                <a:ext uri="{FF2B5EF4-FFF2-40B4-BE49-F238E27FC236}">
                  <a16:creationId xmlns:a16="http://schemas.microsoft.com/office/drawing/2014/main" id="{58D40BB5-3679-48D2-BFE2-603508E1DDB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647" name="Group 2714">
            <a:extLst>
              <a:ext uri="{FF2B5EF4-FFF2-40B4-BE49-F238E27FC236}">
                <a16:creationId xmlns:a16="http://schemas.microsoft.com/office/drawing/2014/main" id="{0EF0F107-CDA3-489D-8BB0-E53A4BDC9E86}"/>
              </a:ext>
            </a:extLst>
          </xdr:cNvPr>
          <xdr:cNvGrpSpPr>
            <a:grpSpLocks/>
          </xdr:cNvGrpSpPr>
        </xdr:nvGrpSpPr>
        <xdr:grpSpPr bwMode="auto">
          <a:xfrm>
            <a:off x="596" y="1007"/>
            <a:ext cx="56" cy="25"/>
            <a:chOff x="2755" y="422"/>
            <a:chExt cx="56" cy="32"/>
          </a:xfrm>
        </xdr:grpSpPr>
        <xdr:sp macro="" textlink="">
          <xdr:nvSpPr>
            <xdr:cNvPr id="4647648" name="Rectangle 2715">
              <a:extLst>
                <a:ext uri="{FF2B5EF4-FFF2-40B4-BE49-F238E27FC236}">
                  <a16:creationId xmlns:a16="http://schemas.microsoft.com/office/drawing/2014/main" id="{ECEFBD9A-CBF7-4D7B-9CFD-5516C5BEC46B}"/>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49" name="Rectangle 2716">
              <a:extLst>
                <a:ext uri="{FF2B5EF4-FFF2-40B4-BE49-F238E27FC236}">
                  <a16:creationId xmlns:a16="http://schemas.microsoft.com/office/drawing/2014/main" id="{4407DF3A-8A4C-43EF-A521-0DD4EB28E7B8}"/>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clientData/>
  </xdr:twoCellAnchor>
  <xdr:twoCellAnchor>
    <xdr:from>
      <xdr:col>53</xdr:col>
      <xdr:colOff>0</xdr:colOff>
      <xdr:row>24</xdr:row>
      <xdr:rowOff>28575</xdr:rowOff>
    </xdr:from>
    <xdr:to>
      <xdr:col>53</xdr:col>
      <xdr:colOff>0</xdr:colOff>
      <xdr:row>39</xdr:row>
      <xdr:rowOff>0</xdr:rowOff>
    </xdr:to>
    <xdr:grpSp>
      <xdr:nvGrpSpPr>
        <xdr:cNvPr id="4647567" name="Group 2656">
          <a:extLst>
            <a:ext uri="{FF2B5EF4-FFF2-40B4-BE49-F238E27FC236}">
              <a16:creationId xmlns:a16="http://schemas.microsoft.com/office/drawing/2014/main" id="{C1EF5BA8-1CCF-4338-BA40-3421B4CA6682}"/>
            </a:ext>
          </a:extLst>
        </xdr:cNvPr>
        <xdr:cNvGrpSpPr>
          <a:grpSpLocks/>
        </xdr:cNvGrpSpPr>
      </xdr:nvGrpSpPr>
      <xdr:grpSpPr bwMode="auto">
        <a:xfrm>
          <a:off x="29829125" y="4521200"/>
          <a:ext cx="0" cy="2670175"/>
          <a:chOff x="596" y="422"/>
          <a:chExt cx="56" cy="610"/>
        </a:xfrm>
      </xdr:grpSpPr>
      <xdr:grpSp>
        <xdr:nvGrpSpPr>
          <xdr:cNvPr id="4647568" name="Group 2657">
            <a:extLst>
              <a:ext uri="{FF2B5EF4-FFF2-40B4-BE49-F238E27FC236}">
                <a16:creationId xmlns:a16="http://schemas.microsoft.com/office/drawing/2014/main" id="{8AE0CEA7-EF97-43C2-8985-FDB70B4CA02F}"/>
              </a:ext>
            </a:extLst>
          </xdr:cNvPr>
          <xdr:cNvGrpSpPr>
            <a:grpSpLocks/>
          </xdr:cNvGrpSpPr>
        </xdr:nvGrpSpPr>
        <xdr:grpSpPr bwMode="auto">
          <a:xfrm>
            <a:off x="596" y="422"/>
            <a:ext cx="56" cy="25"/>
            <a:chOff x="2755" y="422"/>
            <a:chExt cx="56" cy="32"/>
          </a:xfrm>
        </xdr:grpSpPr>
        <xdr:sp macro="" textlink="">
          <xdr:nvSpPr>
            <xdr:cNvPr id="4647626" name="Rectangle 2658">
              <a:extLst>
                <a:ext uri="{FF2B5EF4-FFF2-40B4-BE49-F238E27FC236}">
                  <a16:creationId xmlns:a16="http://schemas.microsoft.com/office/drawing/2014/main" id="{7071C3B3-2AE9-4AB1-8009-E1A53CF20A1E}"/>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27" name="Rectangle 2659">
              <a:extLst>
                <a:ext uri="{FF2B5EF4-FFF2-40B4-BE49-F238E27FC236}">
                  <a16:creationId xmlns:a16="http://schemas.microsoft.com/office/drawing/2014/main" id="{CC3F2240-BCE8-4DDD-9700-BC0C94F26D95}"/>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69" name="Group 2660">
            <a:extLst>
              <a:ext uri="{FF2B5EF4-FFF2-40B4-BE49-F238E27FC236}">
                <a16:creationId xmlns:a16="http://schemas.microsoft.com/office/drawing/2014/main" id="{57873C95-8E85-4EE9-83FC-00BBA2BF1062}"/>
              </a:ext>
            </a:extLst>
          </xdr:cNvPr>
          <xdr:cNvGrpSpPr>
            <a:grpSpLocks/>
          </xdr:cNvGrpSpPr>
        </xdr:nvGrpSpPr>
        <xdr:grpSpPr bwMode="auto">
          <a:xfrm>
            <a:off x="596" y="452"/>
            <a:ext cx="56" cy="25"/>
            <a:chOff x="2755" y="422"/>
            <a:chExt cx="56" cy="32"/>
          </a:xfrm>
        </xdr:grpSpPr>
        <xdr:sp macro="" textlink="">
          <xdr:nvSpPr>
            <xdr:cNvPr id="4647624" name="Rectangle 2661">
              <a:extLst>
                <a:ext uri="{FF2B5EF4-FFF2-40B4-BE49-F238E27FC236}">
                  <a16:creationId xmlns:a16="http://schemas.microsoft.com/office/drawing/2014/main" id="{C88D5B96-97F9-40B9-B1FE-3E1FB92C8731}"/>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25" name="Rectangle 2662">
              <a:extLst>
                <a:ext uri="{FF2B5EF4-FFF2-40B4-BE49-F238E27FC236}">
                  <a16:creationId xmlns:a16="http://schemas.microsoft.com/office/drawing/2014/main" id="{F0A1C43D-751E-4D47-ACD7-033CB79904CD}"/>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0" name="Group 2663">
            <a:extLst>
              <a:ext uri="{FF2B5EF4-FFF2-40B4-BE49-F238E27FC236}">
                <a16:creationId xmlns:a16="http://schemas.microsoft.com/office/drawing/2014/main" id="{40DF9930-1192-4E16-B495-FC7A4D1A9EC8}"/>
              </a:ext>
            </a:extLst>
          </xdr:cNvPr>
          <xdr:cNvGrpSpPr>
            <a:grpSpLocks/>
          </xdr:cNvGrpSpPr>
        </xdr:nvGrpSpPr>
        <xdr:grpSpPr bwMode="auto">
          <a:xfrm>
            <a:off x="596" y="482"/>
            <a:ext cx="56" cy="25"/>
            <a:chOff x="2755" y="422"/>
            <a:chExt cx="56" cy="32"/>
          </a:xfrm>
        </xdr:grpSpPr>
        <xdr:sp macro="" textlink="">
          <xdr:nvSpPr>
            <xdr:cNvPr id="4647622" name="Rectangle 2664">
              <a:extLst>
                <a:ext uri="{FF2B5EF4-FFF2-40B4-BE49-F238E27FC236}">
                  <a16:creationId xmlns:a16="http://schemas.microsoft.com/office/drawing/2014/main" id="{C1AC750E-5D03-4845-BFE1-CC0D3BCCF48E}"/>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23" name="Rectangle 2665">
              <a:extLst>
                <a:ext uri="{FF2B5EF4-FFF2-40B4-BE49-F238E27FC236}">
                  <a16:creationId xmlns:a16="http://schemas.microsoft.com/office/drawing/2014/main" id="{59FEE8F6-07F0-4DCF-B135-4F7AAB500393}"/>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1" name="Group 2666">
            <a:extLst>
              <a:ext uri="{FF2B5EF4-FFF2-40B4-BE49-F238E27FC236}">
                <a16:creationId xmlns:a16="http://schemas.microsoft.com/office/drawing/2014/main" id="{0B424161-108B-40D7-84B6-4A1D6B1384BB}"/>
              </a:ext>
            </a:extLst>
          </xdr:cNvPr>
          <xdr:cNvGrpSpPr>
            <a:grpSpLocks/>
          </xdr:cNvGrpSpPr>
        </xdr:nvGrpSpPr>
        <xdr:grpSpPr bwMode="auto">
          <a:xfrm>
            <a:off x="596" y="512"/>
            <a:ext cx="56" cy="25"/>
            <a:chOff x="2755" y="422"/>
            <a:chExt cx="56" cy="32"/>
          </a:xfrm>
        </xdr:grpSpPr>
        <xdr:sp macro="" textlink="">
          <xdr:nvSpPr>
            <xdr:cNvPr id="4647620" name="Rectangle 2667">
              <a:extLst>
                <a:ext uri="{FF2B5EF4-FFF2-40B4-BE49-F238E27FC236}">
                  <a16:creationId xmlns:a16="http://schemas.microsoft.com/office/drawing/2014/main" id="{F88438F1-39FE-4FD1-94A5-92AA6CF949BF}"/>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21" name="Rectangle 2668">
              <a:extLst>
                <a:ext uri="{FF2B5EF4-FFF2-40B4-BE49-F238E27FC236}">
                  <a16:creationId xmlns:a16="http://schemas.microsoft.com/office/drawing/2014/main" id="{61959492-35E0-44F7-8CFD-96BB2C7228E8}"/>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2" name="Group 2669">
            <a:extLst>
              <a:ext uri="{FF2B5EF4-FFF2-40B4-BE49-F238E27FC236}">
                <a16:creationId xmlns:a16="http://schemas.microsoft.com/office/drawing/2014/main" id="{10610B1A-FF53-425A-984E-794AECD6ABC4}"/>
              </a:ext>
            </a:extLst>
          </xdr:cNvPr>
          <xdr:cNvGrpSpPr>
            <a:grpSpLocks/>
          </xdr:cNvGrpSpPr>
        </xdr:nvGrpSpPr>
        <xdr:grpSpPr bwMode="auto">
          <a:xfrm>
            <a:off x="596" y="542"/>
            <a:ext cx="56" cy="25"/>
            <a:chOff x="2755" y="422"/>
            <a:chExt cx="56" cy="32"/>
          </a:xfrm>
        </xdr:grpSpPr>
        <xdr:sp macro="" textlink="">
          <xdr:nvSpPr>
            <xdr:cNvPr id="4647618" name="Rectangle 2670">
              <a:extLst>
                <a:ext uri="{FF2B5EF4-FFF2-40B4-BE49-F238E27FC236}">
                  <a16:creationId xmlns:a16="http://schemas.microsoft.com/office/drawing/2014/main" id="{7731A4D6-0513-4FFB-8072-ECC7B1B2919F}"/>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19" name="Rectangle 2671">
              <a:extLst>
                <a:ext uri="{FF2B5EF4-FFF2-40B4-BE49-F238E27FC236}">
                  <a16:creationId xmlns:a16="http://schemas.microsoft.com/office/drawing/2014/main" id="{DEA3DB06-E6FD-4A2C-B6E0-FE29BF2468E7}"/>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3" name="Group 2672">
            <a:extLst>
              <a:ext uri="{FF2B5EF4-FFF2-40B4-BE49-F238E27FC236}">
                <a16:creationId xmlns:a16="http://schemas.microsoft.com/office/drawing/2014/main" id="{3D564CE3-5A89-4919-9F02-EAAF1D37CC51}"/>
              </a:ext>
            </a:extLst>
          </xdr:cNvPr>
          <xdr:cNvGrpSpPr>
            <a:grpSpLocks/>
          </xdr:cNvGrpSpPr>
        </xdr:nvGrpSpPr>
        <xdr:grpSpPr bwMode="auto">
          <a:xfrm>
            <a:off x="596" y="577"/>
            <a:ext cx="56" cy="25"/>
            <a:chOff x="2755" y="422"/>
            <a:chExt cx="56" cy="32"/>
          </a:xfrm>
        </xdr:grpSpPr>
        <xdr:sp macro="" textlink="">
          <xdr:nvSpPr>
            <xdr:cNvPr id="4647616" name="Rectangle 2673">
              <a:extLst>
                <a:ext uri="{FF2B5EF4-FFF2-40B4-BE49-F238E27FC236}">
                  <a16:creationId xmlns:a16="http://schemas.microsoft.com/office/drawing/2014/main" id="{A225FCC8-0B72-4063-84C7-5910302B590C}"/>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17" name="Rectangle 2674">
              <a:extLst>
                <a:ext uri="{FF2B5EF4-FFF2-40B4-BE49-F238E27FC236}">
                  <a16:creationId xmlns:a16="http://schemas.microsoft.com/office/drawing/2014/main" id="{19517043-E144-425B-952F-0BD1D224875B}"/>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4" name="Group 2675">
            <a:extLst>
              <a:ext uri="{FF2B5EF4-FFF2-40B4-BE49-F238E27FC236}">
                <a16:creationId xmlns:a16="http://schemas.microsoft.com/office/drawing/2014/main" id="{C3947C58-371D-4C03-AAF8-9FD2C7D144E9}"/>
              </a:ext>
            </a:extLst>
          </xdr:cNvPr>
          <xdr:cNvGrpSpPr>
            <a:grpSpLocks/>
          </xdr:cNvGrpSpPr>
        </xdr:nvGrpSpPr>
        <xdr:grpSpPr bwMode="auto">
          <a:xfrm>
            <a:off x="596" y="607"/>
            <a:ext cx="56" cy="25"/>
            <a:chOff x="2755" y="422"/>
            <a:chExt cx="56" cy="32"/>
          </a:xfrm>
        </xdr:grpSpPr>
        <xdr:sp macro="" textlink="">
          <xdr:nvSpPr>
            <xdr:cNvPr id="4647614" name="Rectangle 2676">
              <a:extLst>
                <a:ext uri="{FF2B5EF4-FFF2-40B4-BE49-F238E27FC236}">
                  <a16:creationId xmlns:a16="http://schemas.microsoft.com/office/drawing/2014/main" id="{DF5F21E5-0B7D-410E-A9E4-AA4CC68E035B}"/>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15" name="Rectangle 2677">
              <a:extLst>
                <a:ext uri="{FF2B5EF4-FFF2-40B4-BE49-F238E27FC236}">
                  <a16:creationId xmlns:a16="http://schemas.microsoft.com/office/drawing/2014/main" id="{E0EB88B4-1591-4BED-ADD0-FB849EC4064C}"/>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5" name="Group 2678">
            <a:extLst>
              <a:ext uri="{FF2B5EF4-FFF2-40B4-BE49-F238E27FC236}">
                <a16:creationId xmlns:a16="http://schemas.microsoft.com/office/drawing/2014/main" id="{AF0A4226-D3FD-422C-8A48-5AC9DD7BD202}"/>
              </a:ext>
            </a:extLst>
          </xdr:cNvPr>
          <xdr:cNvGrpSpPr>
            <a:grpSpLocks/>
          </xdr:cNvGrpSpPr>
        </xdr:nvGrpSpPr>
        <xdr:grpSpPr bwMode="auto">
          <a:xfrm>
            <a:off x="596" y="637"/>
            <a:ext cx="56" cy="25"/>
            <a:chOff x="2755" y="422"/>
            <a:chExt cx="56" cy="32"/>
          </a:xfrm>
        </xdr:grpSpPr>
        <xdr:sp macro="" textlink="">
          <xdr:nvSpPr>
            <xdr:cNvPr id="4647612" name="Rectangle 2679">
              <a:extLst>
                <a:ext uri="{FF2B5EF4-FFF2-40B4-BE49-F238E27FC236}">
                  <a16:creationId xmlns:a16="http://schemas.microsoft.com/office/drawing/2014/main" id="{9B8C4659-FD84-4F47-8516-8FF44194AB7D}"/>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13" name="Rectangle 2680">
              <a:extLst>
                <a:ext uri="{FF2B5EF4-FFF2-40B4-BE49-F238E27FC236}">
                  <a16:creationId xmlns:a16="http://schemas.microsoft.com/office/drawing/2014/main" id="{CC2F1851-D31E-4C33-87C1-60AA46EB5DE0}"/>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6" name="Group 2681">
            <a:extLst>
              <a:ext uri="{FF2B5EF4-FFF2-40B4-BE49-F238E27FC236}">
                <a16:creationId xmlns:a16="http://schemas.microsoft.com/office/drawing/2014/main" id="{F2B38E64-F1AC-430A-BD70-7C325866FD26}"/>
              </a:ext>
            </a:extLst>
          </xdr:cNvPr>
          <xdr:cNvGrpSpPr>
            <a:grpSpLocks/>
          </xdr:cNvGrpSpPr>
        </xdr:nvGrpSpPr>
        <xdr:grpSpPr bwMode="auto">
          <a:xfrm>
            <a:off x="596" y="667"/>
            <a:ext cx="56" cy="25"/>
            <a:chOff x="2755" y="422"/>
            <a:chExt cx="56" cy="32"/>
          </a:xfrm>
        </xdr:grpSpPr>
        <xdr:sp macro="" textlink="">
          <xdr:nvSpPr>
            <xdr:cNvPr id="4647610" name="Rectangle 2682">
              <a:extLst>
                <a:ext uri="{FF2B5EF4-FFF2-40B4-BE49-F238E27FC236}">
                  <a16:creationId xmlns:a16="http://schemas.microsoft.com/office/drawing/2014/main" id="{8F20556F-3E4D-40FD-9FB7-045A70AA502D}"/>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11" name="Rectangle 2683">
              <a:extLst>
                <a:ext uri="{FF2B5EF4-FFF2-40B4-BE49-F238E27FC236}">
                  <a16:creationId xmlns:a16="http://schemas.microsoft.com/office/drawing/2014/main" id="{C5B458CB-A862-4442-BFCE-5298AA8C8909}"/>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7" name="Group 2684">
            <a:extLst>
              <a:ext uri="{FF2B5EF4-FFF2-40B4-BE49-F238E27FC236}">
                <a16:creationId xmlns:a16="http://schemas.microsoft.com/office/drawing/2014/main" id="{1E5A1D17-4017-4321-AD32-DCF9C286B878}"/>
              </a:ext>
            </a:extLst>
          </xdr:cNvPr>
          <xdr:cNvGrpSpPr>
            <a:grpSpLocks/>
          </xdr:cNvGrpSpPr>
        </xdr:nvGrpSpPr>
        <xdr:grpSpPr bwMode="auto">
          <a:xfrm>
            <a:off x="596" y="697"/>
            <a:ext cx="56" cy="25"/>
            <a:chOff x="2755" y="422"/>
            <a:chExt cx="56" cy="32"/>
          </a:xfrm>
        </xdr:grpSpPr>
        <xdr:sp macro="" textlink="">
          <xdr:nvSpPr>
            <xdr:cNvPr id="4647608" name="Rectangle 2685">
              <a:extLst>
                <a:ext uri="{FF2B5EF4-FFF2-40B4-BE49-F238E27FC236}">
                  <a16:creationId xmlns:a16="http://schemas.microsoft.com/office/drawing/2014/main" id="{9321AE5A-4C09-4A73-A8EC-C3B17AB8ADC3}"/>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09" name="Rectangle 2686">
              <a:extLst>
                <a:ext uri="{FF2B5EF4-FFF2-40B4-BE49-F238E27FC236}">
                  <a16:creationId xmlns:a16="http://schemas.microsoft.com/office/drawing/2014/main" id="{B2D1C7C3-E795-49E7-92F5-A24DC9657049}"/>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8" name="Group 2687">
            <a:extLst>
              <a:ext uri="{FF2B5EF4-FFF2-40B4-BE49-F238E27FC236}">
                <a16:creationId xmlns:a16="http://schemas.microsoft.com/office/drawing/2014/main" id="{976873EF-D340-4C57-A6C6-94F4DAAE0BB4}"/>
              </a:ext>
            </a:extLst>
          </xdr:cNvPr>
          <xdr:cNvGrpSpPr>
            <a:grpSpLocks/>
          </xdr:cNvGrpSpPr>
        </xdr:nvGrpSpPr>
        <xdr:grpSpPr bwMode="auto">
          <a:xfrm>
            <a:off x="596" y="732"/>
            <a:ext cx="56" cy="25"/>
            <a:chOff x="2755" y="422"/>
            <a:chExt cx="56" cy="32"/>
          </a:xfrm>
        </xdr:grpSpPr>
        <xdr:sp macro="" textlink="">
          <xdr:nvSpPr>
            <xdr:cNvPr id="4647606" name="Rectangle 2688">
              <a:extLst>
                <a:ext uri="{FF2B5EF4-FFF2-40B4-BE49-F238E27FC236}">
                  <a16:creationId xmlns:a16="http://schemas.microsoft.com/office/drawing/2014/main" id="{B0E11479-3659-4ADF-914D-7472E8C9362C}"/>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07" name="Rectangle 2689">
              <a:extLst>
                <a:ext uri="{FF2B5EF4-FFF2-40B4-BE49-F238E27FC236}">
                  <a16:creationId xmlns:a16="http://schemas.microsoft.com/office/drawing/2014/main" id="{9B1A4E24-9C2A-4BB7-992A-C79A611E4FF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79" name="Group 2690">
            <a:extLst>
              <a:ext uri="{FF2B5EF4-FFF2-40B4-BE49-F238E27FC236}">
                <a16:creationId xmlns:a16="http://schemas.microsoft.com/office/drawing/2014/main" id="{2F6416E6-C66C-4CB8-A37D-CD58BF6FD6AA}"/>
              </a:ext>
            </a:extLst>
          </xdr:cNvPr>
          <xdr:cNvGrpSpPr>
            <a:grpSpLocks/>
          </xdr:cNvGrpSpPr>
        </xdr:nvGrpSpPr>
        <xdr:grpSpPr bwMode="auto">
          <a:xfrm>
            <a:off x="596" y="762"/>
            <a:ext cx="56" cy="25"/>
            <a:chOff x="2755" y="422"/>
            <a:chExt cx="56" cy="32"/>
          </a:xfrm>
        </xdr:grpSpPr>
        <xdr:sp macro="" textlink="">
          <xdr:nvSpPr>
            <xdr:cNvPr id="4647604" name="Rectangle 2691">
              <a:extLst>
                <a:ext uri="{FF2B5EF4-FFF2-40B4-BE49-F238E27FC236}">
                  <a16:creationId xmlns:a16="http://schemas.microsoft.com/office/drawing/2014/main" id="{F5F09296-F4F9-4E29-917A-9DCE682AAF69}"/>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05" name="Rectangle 2692">
              <a:extLst>
                <a:ext uri="{FF2B5EF4-FFF2-40B4-BE49-F238E27FC236}">
                  <a16:creationId xmlns:a16="http://schemas.microsoft.com/office/drawing/2014/main" id="{7EAE2BF8-319B-4078-B4C8-3F84B37A52AB}"/>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80" name="Group 2693">
            <a:extLst>
              <a:ext uri="{FF2B5EF4-FFF2-40B4-BE49-F238E27FC236}">
                <a16:creationId xmlns:a16="http://schemas.microsoft.com/office/drawing/2014/main" id="{68F50E78-3A4B-419B-A79C-6123FC60C3A8}"/>
              </a:ext>
            </a:extLst>
          </xdr:cNvPr>
          <xdr:cNvGrpSpPr>
            <a:grpSpLocks/>
          </xdr:cNvGrpSpPr>
        </xdr:nvGrpSpPr>
        <xdr:grpSpPr bwMode="auto">
          <a:xfrm>
            <a:off x="596" y="792"/>
            <a:ext cx="56" cy="25"/>
            <a:chOff x="2755" y="422"/>
            <a:chExt cx="56" cy="32"/>
          </a:xfrm>
        </xdr:grpSpPr>
        <xdr:sp macro="" textlink="">
          <xdr:nvSpPr>
            <xdr:cNvPr id="4647602" name="Rectangle 2694">
              <a:extLst>
                <a:ext uri="{FF2B5EF4-FFF2-40B4-BE49-F238E27FC236}">
                  <a16:creationId xmlns:a16="http://schemas.microsoft.com/office/drawing/2014/main" id="{12431915-819D-43A8-9C73-F46F61BD2332}"/>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03" name="Rectangle 2695">
              <a:extLst>
                <a:ext uri="{FF2B5EF4-FFF2-40B4-BE49-F238E27FC236}">
                  <a16:creationId xmlns:a16="http://schemas.microsoft.com/office/drawing/2014/main" id="{B3EE133C-5F23-471D-9B22-307E5E534163}"/>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81" name="Group 2696">
            <a:extLst>
              <a:ext uri="{FF2B5EF4-FFF2-40B4-BE49-F238E27FC236}">
                <a16:creationId xmlns:a16="http://schemas.microsoft.com/office/drawing/2014/main" id="{5A8A3F70-ECEE-4385-8276-F83A439615F8}"/>
              </a:ext>
            </a:extLst>
          </xdr:cNvPr>
          <xdr:cNvGrpSpPr>
            <a:grpSpLocks/>
          </xdr:cNvGrpSpPr>
        </xdr:nvGrpSpPr>
        <xdr:grpSpPr bwMode="auto">
          <a:xfrm>
            <a:off x="596" y="822"/>
            <a:ext cx="56" cy="25"/>
            <a:chOff x="2755" y="422"/>
            <a:chExt cx="56" cy="32"/>
          </a:xfrm>
        </xdr:grpSpPr>
        <xdr:sp macro="" textlink="">
          <xdr:nvSpPr>
            <xdr:cNvPr id="4647600" name="Rectangle 2697">
              <a:extLst>
                <a:ext uri="{FF2B5EF4-FFF2-40B4-BE49-F238E27FC236}">
                  <a16:creationId xmlns:a16="http://schemas.microsoft.com/office/drawing/2014/main" id="{A0A9E811-9BC7-408C-B05A-00E64FC5F969}"/>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601" name="Rectangle 2698">
              <a:extLst>
                <a:ext uri="{FF2B5EF4-FFF2-40B4-BE49-F238E27FC236}">
                  <a16:creationId xmlns:a16="http://schemas.microsoft.com/office/drawing/2014/main" id="{2AD25670-B66E-4B23-8A9C-57AC8B4E8AA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82" name="Group 2699">
            <a:extLst>
              <a:ext uri="{FF2B5EF4-FFF2-40B4-BE49-F238E27FC236}">
                <a16:creationId xmlns:a16="http://schemas.microsoft.com/office/drawing/2014/main" id="{49126146-AD30-45EA-B886-9A3CCA1EDC82}"/>
              </a:ext>
            </a:extLst>
          </xdr:cNvPr>
          <xdr:cNvGrpSpPr>
            <a:grpSpLocks/>
          </xdr:cNvGrpSpPr>
        </xdr:nvGrpSpPr>
        <xdr:grpSpPr bwMode="auto">
          <a:xfrm>
            <a:off x="596" y="852"/>
            <a:ext cx="56" cy="25"/>
            <a:chOff x="2755" y="422"/>
            <a:chExt cx="56" cy="32"/>
          </a:xfrm>
        </xdr:grpSpPr>
        <xdr:sp macro="" textlink="">
          <xdr:nvSpPr>
            <xdr:cNvPr id="4647598" name="Rectangle 2700">
              <a:extLst>
                <a:ext uri="{FF2B5EF4-FFF2-40B4-BE49-F238E27FC236}">
                  <a16:creationId xmlns:a16="http://schemas.microsoft.com/office/drawing/2014/main" id="{C0E26784-DD46-4D10-93EC-A77B0F15511F}"/>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599" name="Rectangle 2701">
              <a:extLst>
                <a:ext uri="{FF2B5EF4-FFF2-40B4-BE49-F238E27FC236}">
                  <a16:creationId xmlns:a16="http://schemas.microsoft.com/office/drawing/2014/main" id="{B652DC3B-A34F-4CA3-B941-207F526EFD1F}"/>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83" name="Group 2702">
            <a:extLst>
              <a:ext uri="{FF2B5EF4-FFF2-40B4-BE49-F238E27FC236}">
                <a16:creationId xmlns:a16="http://schemas.microsoft.com/office/drawing/2014/main" id="{52608DA2-D2FB-42B1-B6A1-D7FD4B436FEB}"/>
              </a:ext>
            </a:extLst>
          </xdr:cNvPr>
          <xdr:cNvGrpSpPr>
            <a:grpSpLocks/>
          </xdr:cNvGrpSpPr>
        </xdr:nvGrpSpPr>
        <xdr:grpSpPr bwMode="auto">
          <a:xfrm>
            <a:off x="596" y="887"/>
            <a:ext cx="56" cy="25"/>
            <a:chOff x="2755" y="422"/>
            <a:chExt cx="56" cy="32"/>
          </a:xfrm>
        </xdr:grpSpPr>
        <xdr:sp macro="" textlink="">
          <xdr:nvSpPr>
            <xdr:cNvPr id="4647596" name="Rectangle 2703">
              <a:extLst>
                <a:ext uri="{FF2B5EF4-FFF2-40B4-BE49-F238E27FC236}">
                  <a16:creationId xmlns:a16="http://schemas.microsoft.com/office/drawing/2014/main" id="{1BBCBF22-3863-4708-B10E-AA68B431B6FC}"/>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597" name="Rectangle 2704">
              <a:extLst>
                <a:ext uri="{FF2B5EF4-FFF2-40B4-BE49-F238E27FC236}">
                  <a16:creationId xmlns:a16="http://schemas.microsoft.com/office/drawing/2014/main" id="{5C062F84-59AA-4D54-BB0F-CC10AF217EC5}"/>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84" name="Group 2705">
            <a:extLst>
              <a:ext uri="{FF2B5EF4-FFF2-40B4-BE49-F238E27FC236}">
                <a16:creationId xmlns:a16="http://schemas.microsoft.com/office/drawing/2014/main" id="{BF560D2E-4284-4969-B54F-F8B6FB448CA0}"/>
              </a:ext>
            </a:extLst>
          </xdr:cNvPr>
          <xdr:cNvGrpSpPr>
            <a:grpSpLocks/>
          </xdr:cNvGrpSpPr>
        </xdr:nvGrpSpPr>
        <xdr:grpSpPr bwMode="auto">
          <a:xfrm>
            <a:off x="596" y="917"/>
            <a:ext cx="56" cy="25"/>
            <a:chOff x="2755" y="422"/>
            <a:chExt cx="56" cy="32"/>
          </a:xfrm>
        </xdr:grpSpPr>
        <xdr:sp macro="" textlink="">
          <xdr:nvSpPr>
            <xdr:cNvPr id="4647594" name="Rectangle 2706">
              <a:extLst>
                <a:ext uri="{FF2B5EF4-FFF2-40B4-BE49-F238E27FC236}">
                  <a16:creationId xmlns:a16="http://schemas.microsoft.com/office/drawing/2014/main" id="{39A4A41F-D718-453F-A635-B036ED3C8B13}"/>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595" name="Rectangle 2707">
              <a:extLst>
                <a:ext uri="{FF2B5EF4-FFF2-40B4-BE49-F238E27FC236}">
                  <a16:creationId xmlns:a16="http://schemas.microsoft.com/office/drawing/2014/main" id="{CAFF0E72-A6DE-432F-83CD-3CF0B90B95DC}"/>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85" name="Group 2708">
            <a:extLst>
              <a:ext uri="{FF2B5EF4-FFF2-40B4-BE49-F238E27FC236}">
                <a16:creationId xmlns:a16="http://schemas.microsoft.com/office/drawing/2014/main" id="{C2F2D250-861F-471D-91F9-C10017FD25D6}"/>
              </a:ext>
            </a:extLst>
          </xdr:cNvPr>
          <xdr:cNvGrpSpPr>
            <a:grpSpLocks/>
          </xdr:cNvGrpSpPr>
        </xdr:nvGrpSpPr>
        <xdr:grpSpPr bwMode="auto">
          <a:xfrm>
            <a:off x="596" y="947"/>
            <a:ext cx="56" cy="25"/>
            <a:chOff x="2755" y="422"/>
            <a:chExt cx="56" cy="32"/>
          </a:xfrm>
        </xdr:grpSpPr>
        <xdr:sp macro="" textlink="">
          <xdr:nvSpPr>
            <xdr:cNvPr id="4647592" name="Rectangle 2709">
              <a:extLst>
                <a:ext uri="{FF2B5EF4-FFF2-40B4-BE49-F238E27FC236}">
                  <a16:creationId xmlns:a16="http://schemas.microsoft.com/office/drawing/2014/main" id="{61719B2E-2B34-4770-8B99-BACE8982AC2A}"/>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593" name="Rectangle 2710">
              <a:extLst>
                <a:ext uri="{FF2B5EF4-FFF2-40B4-BE49-F238E27FC236}">
                  <a16:creationId xmlns:a16="http://schemas.microsoft.com/office/drawing/2014/main" id="{A0A2DD4E-E452-463B-B7CC-6E9BC5B3066F}"/>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86" name="Group 2711">
            <a:extLst>
              <a:ext uri="{FF2B5EF4-FFF2-40B4-BE49-F238E27FC236}">
                <a16:creationId xmlns:a16="http://schemas.microsoft.com/office/drawing/2014/main" id="{F505717B-DA77-4820-A149-655783616517}"/>
              </a:ext>
            </a:extLst>
          </xdr:cNvPr>
          <xdr:cNvGrpSpPr>
            <a:grpSpLocks/>
          </xdr:cNvGrpSpPr>
        </xdr:nvGrpSpPr>
        <xdr:grpSpPr bwMode="auto">
          <a:xfrm>
            <a:off x="596" y="977"/>
            <a:ext cx="56" cy="25"/>
            <a:chOff x="2755" y="422"/>
            <a:chExt cx="56" cy="32"/>
          </a:xfrm>
        </xdr:grpSpPr>
        <xdr:sp macro="" textlink="">
          <xdr:nvSpPr>
            <xdr:cNvPr id="4647590" name="Rectangle 2712">
              <a:extLst>
                <a:ext uri="{FF2B5EF4-FFF2-40B4-BE49-F238E27FC236}">
                  <a16:creationId xmlns:a16="http://schemas.microsoft.com/office/drawing/2014/main" id="{69173ED2-2159-4EB3-8D8F-2778BAC6A874}"/>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591" name="Rectangle 2713">
              <a:extLst>
                <a:ext uri="{FF2B5EF4-FFF2-40B4-BE49-F238E27FC236}">
                  <a16:creationId xmlns:a16="http://schemas.microsoft.com/office/drawing/2014/main" id="{E6C2D554-4BFE-4237-AFAA-76DF2215A4A3}"/>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4647587" name="Group 2714">
            <a:extLst>
              <a:ext uri="{FF2B5EF4-FFF2-40B4-BE49-F238E27FC236}">
                <a16:creationId xmlns:a16="http://schemas.microsoft.com/office/drawing/2014/main" id="{797D0B15-4E9B-4CA5-8B32-0D0D92192A33}"/>
              </a:ext>
            </a:extLst>
          </xdr:cNvPr>
          <xdr:cNvGrpSpPr>
            <a:grpSpLocks/>
          </xdr:cNvGrpSpPr>
        </xdr:nvGrpSpPr>
        <xdr:grpSpPr bwMode="auto">
          <a:xfrm>
            <a:off x="596" y="1007"/>
            <a:ext cx="56" cy="25"/>
            <a:chOff x="2755" y="422"/>
            <a:chExt cx="56" cy="32"/>
          </a:xfrm>
        </xdr:grpSpPr>
        <xdr:sp macro="" textlink="">
          <xdr:nvSpPr>
            <xdr:cNvPr id="4647588" name="Rectangle 2715">
              <a:extLst>
                <a:ext uri="{FF2B5EF4-FFF2-40B4-BE49-F238E27FC236}">
                  <a16:creationId xmlns:a16="http://schemas.microsoft.com/office/drawing/2014/main" id="{C507F51E-B985-47CD-8123-BF7601CA13F9}"/>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4647589" name="Rectangle 2716">
              <a:extLst>
                <a:ext uri="{FF2B5EF4-FFF2-40B4-BE49-F238E27FC236}">
                  <a16:creationId xmlns:a16="http://schemas.microsoft.com/office/drawing/2014/main" id="{E2448253-9C11-45AA-84C8-14E1191650CE}"/>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171450</xdr:colOff>
      <xdr:row>1</xdr:row>
      <xdr:rowOff>28575</xdr:rowOff>
    </xdr:from>
    <xdr:to>
      <xdr:col>5</xdr:col>
      <xdr:colOff>342900</xdr:colOff>
      <xdr:row>2</xdr:row>
      <xdr:rowOff>47625</xdr:rowOff>
    </xdr:to>
    <xdr:grpSp>
      <xdr:nvGrpSpPr>
        <xdr:cNvPr id="4598137" name="Group 310">
          <a:extLst>
            <a:ext uri="{FF2B5EF4-FFF2-40B4-BE49-F238E27FC236}">
              <a16:creationId xmlns:a16="http://schemas.microsoft.com/office/drawing/2014/main" id="{F22835A7-9D09-4C80-8C5C-10B3CB0E527F}"/>
            </a:ext>
          </a:extLst>
        </xdr:cNvPr>
        <xdr:cNvGrpSpPr>
          <a:grpSpLocks/>
        </xdr:cNvGrpSpPr>
      </xdr:nvGrpSpPr>
      <xdr:grpSpPr bwMode="auto">
        <a:xfrm>
          <a:off x="4465027" y="194652"/>
          <a:ext cx="640373" cy="185127"/>
          <a:chOff x="292" y="235"/>
          <a:chExt cx="53" cy="31"/>
        </a:xfrm>
      </xdr:grpSpPr>
      <xdr:sp macro="" textlink="">
        <xdr:nvSpPr>
          <xdr:cNvPr id="4598138" name="Rectangle 1">
            <a:extLst>
              <a:ext uri="{FF2B5EF4-FFF2-40B4-BE49-F238E27FC236}">
                <a16:creationId xmlns:a16="http://schemas.microsoft.com/office/drawing/2014/main" id="{0FA0D929-09B6-4EA2-B4C9-630440280BFB}"/>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4598139" name="Rectangle 1">
            <a:extLst>
              <a:ext uri="{FF2B5EF4-FFF2-40B4-BE49-F238E27FC236}">
                <a16:creationId xmlns:a16="http://schemas.microsoft.com/office/drawing/2014/main" id="{025454A9-BA42-4F5C-8399-377C2D2DAE8B}"/>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66675</xdr:colOff>
      <xdr:row>3</xdr:row>
      <xdr:rowOff>0</xdr:rowOff>
    </xdr:from>
    <xdr:to>
      <xdr:col>8</xdr:col>
      <xdr:colOff>28575</xdr:colOff>
      <xdr:row>4</xdr:row>
      <xdr:rowOff>57150</xdr:rowOff>
    </xdr:to>
    <xdr:grpSp>
      <xdr:nvGrpSpPr>
        <xdr:cNvPr id="4621239" name="Group 310">
          <a:extLst>
            <a:ext uri="{FF2B5EF4-FFF2-40B4-BE49-F238E27FC236}">
              <a16:creationId xmlns:a16="http://schemas.microsoft.com/office/drawing/2014/main" id="{97AA42A8-8AF2-4472-9BA2-E35DC56EB765}"/>
            </a:ext>
          </a:extLst>
        </xdr:cNvPr>
        <xdr:cNvGrpSpPr>
          <a:grpSpLocks/>
        </xdr:cNvGrpSpPr>
      </xdr:nvGrpSpPr>
      <xdr:grpSpPr bwMode="auto">
        <a:xfrm>
          <a:off x="3578713" y="498231"/>
          <a:ext cx="601785" cy="223227"/>
          <a:chOff x="292" y="235"/>
          <a:chExt cx="53" cy="31"/>
        </a:xfrm>
      </xdr:grpSpPr>
      <xdr:sp macro="" textlink="">
        <xdr:nvSpPr>
          <xdr:cNvPr id="4621250" name="Rectangle 1">
            <a:extLst>
              <a:ext uri="{FF2B5EF4-FFF2-40B4-BE49-F238E27FC236}">
                <a16:creationId xmlns:a16="http://schemas.microsoft.com/office/drawing/2014/main" id="{5F86D583-AC2E-4CC7-A406-BF511B312833}"/>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4621251" name="Rectangle 1">
            <a:extLst>
              <a:ext uri="{FF2B5EF4-FFF2-40B4-BE49-F238E27FC236}">
                <a16:creationId xmlns:a16="http://schemas.microsoft.com/office/drawing/2014/main" id="{377657BD-9FAA-4240-8FB3-7748DEF4B147}"/>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twoCellAnchor>
    <xdr:from>
      <xdr:col>4</xdr:col>
      <xdr:colOff>9525</xdr:colOff>
      <xdr:row>8</xdr:row>
      <xdr:rowOff>0</xdr:rowOff>
    </xdr:from>
    <xdr:to>
      <xdr:col>4</xdr:col>
      <xdr:colOff>533400</xdr:colOff>
      <xdr:row>9</xdr:row>
      <xdr:rowOff>171450</xdr:rowOff>
    </xdr:to>
    <xdr:sp macro="" textlink="">
      <xdr:nvSpPr>
        <xdr:cNvPr id="4621240" name="Rectangle 1">
          <a:extLst>
            <a:ext uri="{FF2B5EF4-FFF2-40B4-BE49-F238E27FC236}">
              <a16:creationId xmlns:a16="http://schemas.microsoft.com/office/drawing/2014/main" id="{DC4D43FC-F40D-44EE-8596-902A883A2753}"/>
            </a:ext>
          </a:extLst>
        </xdr:cNvPr>
        <xdr:cNvSpPr>
          <a:spLocks noChangeArrowheads="1"/>
        </xdr:cNvSpPr>
      </xdr:nvSpPr>
      <xdr:spPr bwMode="auto">
        <a:xfrm>
          <a:off x="1524000" y="1371600"/>
          <a:ext cx="523875" cy="342900"/>
        </a:xfrm>
        <a:prstGeom prst="rect">
          <a:avLst/>
        </a:prstGeom>
        <a:solidFill>
          <a:srgbClr val="FFFFFF"/>
        </a:solidFill>
        <a:ln w="9525">
          <a:solidFill>
            <a:srgbClr val="000000"/>
          </a:solidFill>
          <a:miter lim="800000"/>
          <a:headEnd/>
          <a:tailEnd/>
        </a:ln>
      </xdr:spPr>
    </xdr:sp>
    <xdr:clientData/>
  </xdr:twoCellAnchor>
  <xdr:twoCellAnchor>
    <xdr:from>
      <xdr:col>4</xdr:col>
      <xdr:colOff>0</xdr:colOff>
      <xdr:row>14</xdr:row>
      <xdr:rowOff>171450</xdr:rowOff>
    </xdr:from>
    <xdr:to>
      <xdr:col>4</xdr:col>
      <xdr:colOff>523875</xdr:colOff>
      <xdr:row>16</xdr:row>
      <xdr:rowOff>152400</xdr:rowOff>
    </xdr:to>
    <xdr:sp macro="" textlink="">
      <xdr:nvSpPr>
        <xdr:cNvPr id="4621241" name="Rectangle 1">
          <a:extLst>
            <a:ext uri="{FF2B5EF4-FFF2-40B4-BE49-F238E27FC236}">
              <a16:creationId xmlns:a16="http://schemas.microsoft.com/office/drawing/2014/main" id="{3E39A589-3C70-4830-B9D7-D77AFCB22641}"/>
            </a:ext>
          </a:extLst>
        </xdr:cNvPr>
        <xdr:cNvSpPr>
          <a:spLocks noChangeArrowheads="1"/>
        </xdr:cNvSpPr>
      </xdr:nvSpPr>
      <xdr:spPr bwMode="auto">
        <a:xfrm>
          <a:off x="1514475" y="2571750"/>
          <a:ext cx="523875" cy="323850"/>
        </a:xfrm>
        <a:prstGeom prst="rect">
          <a:avLst/>
        </a:prstGeom>
        <a:solidFill>
          <a:srgbClr val="FFFFFF"/>
        </a:solidFill>
        <a:ln w="9525">
          <a:solidFill>
            <a:srgbClr val="000000"/>
          </a:solidFill>
          <a:miter lim="800000"/>
          <a:headEnd/>
          <a:tailEnd/>
        </a:ln>
      </xdr:spPr>
    </xdr:sp>
    <xdr:clientData/>
  </xdr:twoCellAnchor>
  <xdr:twoCellAnchor>
    <xdr:from>
      <xdr:col>4</xdr:col>
      <xdr:colOff>9525</xdr:colOff>
      <xdr:row>22</xdr:row>
      <xdr:rowOff>0</xdr:rowOff>
    </xdr:from>
    <xdr:to>
      <xdr:col>4</xdr:col>
      <xdr:colOff>533400</xdr:colOff>
      <xdr:row>23</xdr:row>
      <xdr:rowOff>171450</xdr:rowOff>
    </xdr:to>
    <xdr:sp macro="" textlink="">
      <xdr:nvSpPr>
        <xdr:cNvPr id="4621242" name="Rectangle 1">
          <a:extLst>
            <a:ext uri="{FF2B5EF4-FFF2-40B4-BE49-F238E27FC236}">
              <a16:creationId xmlns:a16="http://schemas.microsoft.com/office/drawing/2014/main" id="{5E0A212A-6972-465A-9CA6-D5E54D88CAEC}"/>
            </a:ext>
          </a:extLst>
        </xdr:cNvPr>
        <xdr:cNvSpPr>
          <a:spLocks noChangeArrowheads="1"/>
        </xdr:cNvSpPr>
      </xdr:nvSpPr>
      <xdr:spPr bwMode="auto">
        <a:xfrm>
          <a:off x="1524000" y="3790950"/>
          <a:ext cx="523875" cy="342900"/>
        </a:xfrm>
        <a:prstGeom prst="rect">
          <a:avLst/>
        </a:prstGeom>
        <a:solidFill>
          <a:srgbClr val="FFFFFF"/>
        </a:solidFill>
        <a:ln w="9525">
          <a:solidFill>
            <a:srgbClr val="000000"/>
          </a:solidFill>
          <a:miter lim="800000"/>
          <a:headEnd/>
          <a:tailEnd/>
        </a:ln>
      </xdr:spPr>
    </xdr:sp>
    <xdr:clientData/>
  </xdr:twoCellAnchor>
  <xdr:twoCellAnchor>
    <xdr:from>
      <xdr:col>4</xdr:col>
      <xdr:colOff>0</xdr:colOff>
      <xdr:row>29</xdr:row>
      <xdr:rowOff>0</xdr:rowOff>
    </xdr:from>
    <xdr:to>
      <xdr:col>4</xdr:col>
      <xdr:colOff>523875</xdr:colOff>
      <xdr:row>30</xdr:row>
      <xdr:rowOff>171450</xdr:rowOff>
    </xdr:to>
    <xdr:sp macro="" textlink="">
      <xdr:nvSpPr>
        <xdr:cNvPr id="4621243" name="Rectangle 1">
          <a:extLst>
            <a:ext uri="{FF2B5EF4-FFF2-40B4-BE49-F238E27FC236}">
              <a16:creationId xmlns:a16="http://schemas.microsoft.com/office/drawing/2014/main" id="{D3F55AAC-D031-4152-9384-BD264B1F4D96}"/>
            </a:ext>
          </a:extLst>
        </xdr:cNvPr>
        <xdr:cNvSpPr>
          <a:spLocks noChangeArrowheads="1"/>
        </xdr:cNvSpPr>
      </xdr:nvSpPr>
      <xdr:spPr bwMode="auto">
        <a:xfrm>
          <a:off x="1514475" y="4991100"/>
          <a:ext cx="523875" cy="342900"/>
        </a:xfrm>
        <a:prstGeom prst="rect">
          <a:avLst/>
        </a:prstGeom>
        <a:solidFill>
          <a:srgbClr val="FFFFFF"/>
        </a:solidFill>
        <a:ln w="9525">
          <a:solidFill>
            <a:srgbClr val="000000"/>
          </a:solidFill>
          <a:miter lim="800000"/>
          <a:headEnd/>
          <a:tailEnd/>
        </a:ln>
      </xdr:spPr>
    </xdr:sp>
    <xdr:clientData/>
  </xdr:twoCellAnchor>
  <xdr:twoCellAnchor>
    <xdr:from>
      <xdr:col>4</xdr:col>
      <xdr:colOff>0</xdr:colOff>
      <xdr:row>36</xdr:row>
      <xdr:rowOff>0</xdr:rowOff>
    </xdr:from>
    <xdr:to>
      <xdr:col>4</xdr:col>
      <xdr:colOff>523875</xdr:colOff>
      <xdr:row>37</xdr:row>
      <xdr:rowOff>171450</xdr:rowOff>
    </xdr:to>
    <xdr:sp macro="" textlink="">
      <xdr:nvSpPr>
        <xdr:cNvPr id="4621244" name="Rectangle 1">
          <a:extLst>
            <a:ext uri="{FF2B5EF4-FFF2-40B4-BE49-F238E27FC236}">
              <a16:creationId xmlns:a16="http://schemas.microsoft.com/office/drawing/2014/main" id="{1DE3BDDA-AC9C-44AB-968C-F0066743EFCC}"/>
            </a:ext>
          </a:extLst>
        </xdr:cNvPr>
        <xdr:cNvSpPr>
          <a:spLocks noChangeArrowheads="1"/>
        </xdr:cNvSpPr>
      </xdr:nvSpPr>
      <xdr:spPr bwMode="auto">
        <a:xfrm>
          <a:off x="1514475" y="6191250"/>
          <a:ext cx="523875" cy="342900"/>
        </a:xfrm>
        <a:prstGeom prst="rect">
          <a:avLst/>
        </a:prstGeom>
        <a:solidFill>
          <a:srgbClr val="FFFFFF"/>
        </a:solidFill>
        <a:ln w="9525">
          <a:solidFill>
            <a:srgbClr val="000000"/>
          </a:solidFill>
          <a:miter lim="800000"/>
          <a:headEnd/>
          <a:tailEnd/>
        </a:ln>
      </xdr:spPr>
    </xdr:sp>
    <xdr:clientData/>
  </xdr:twoCellAnchor>
  <xdr:twoCellAnchor>
    <xdr:from>
      <xdr:col>12</xdr:col>
      <xdr:colOff>600075</xdr:colOff>
      <xdr:row>8</xdr:row>
      <xdr:rowOff>0</xdr:rowOff>
    </xdr:from>
    <xdr:to>
      <xdr:col>13</xdr:col>
      <xdr:colOff>504825</xdr:colOff>
      <xdr:row>9</xdr:row>
      <xdr:rowOff>171450</xdr:rowOff>
    </xdr:to>
    <xdr:sp macro="" textlink="">
      <xdr:nvSpPr>
        <xdr:cNvPr id="4621245" name="Rectangle 1">
          <a:extLst>
            <a:ext uri="{FF2B5EF4-FFF2-40B4-BE49-F238E27FC236}">
              <a16:creationId xmlns:a16="http://schemas.microsoft.com/office/drawing/2014/main" id="{B4F20DF9-AD65-4E38-9511-DCC3E63D2ED1}"/>
            </a:ext>
          </a:extLst>
        </xdr:cNvPr>
        <xdr:cNvSpPr>
          <a:spLocks noChangeArrowheads="1"/>
        </xdr:cNvSpPr>
      </xdr:nvSpPr>
      <xdr:spPr bwMode="auto">
        <a:xfrm>
          <a:off x="5800725" y="1371600"/>
          <a:ext cx="514350" cy="342900"/>
        </a:xfrm>
        <a:prstGeom prst="rect">
          <a:avLst/>
        </a:prstGeom>
        <a:solidFill>
          <a:srgbClr val="FFFFFF"/>
        </a:solidFill>
        <a:ln w="9525">
          <a:solidFill>
            <a:srgbClr val="000000"/>
          </a:solidFill>
          <a:miter lim="800000"/>
          <a:headEnd/>
          <a:tailEnd/>
        </a:ln>
      </xdr:spPr>
    </xdr:sp>
    <xdr:clientData/>
  </xdr:twoCellAnchor>
  <xdr:twoCellAnchor>
    <xdr:from>
      <xdr:col>13</xdr:col>
      <xdr:colOff>609600</xdr:colOff>
      <xdr:row>14</xdr:row>
      <xdr:rowOff>19050</xdr:rowOff>
    </xdr:from>
    <xdr:to>
      <xdr:col>14</xdr:col>
      <xdr:colOff>523875</xdr:colOff>
      <xdr:row>16</xdr:row>
      <xdr:rowOff>19050</xdr:rowOff>
    </xdr:to>
    <xdr:sp macro="" textlink="">
      <xdr:nvSpPr>
        <xdr:cNvPr id="4621246" name="Rectangle 1">
          <a:extLst>
            <a:ext uri="{FF2B5EF4-FFF2-40B4-BE49-F238E27FC236}">
              <a16:creationId xmlns:a16="http://schemas.microsoft.com/office/drawing/2014/main" id="{1ACA4D84-6845-4816-8F77-1C066D60E336}"/>
            </a:ext>
          </a:extLst>
        </xdr:cNvPr>
        <xdr:cNvSpPr>
          <a:spLocks noChangeArrowheads="1"/>
        </xdr:cNvSpPr>
      </xdr:nvSpPr>
      <xdr:spPr bwMode="auto">
        <a:xfrm>
          <a:off x="6419850" y="2419350"/>
          <a:ext cx="523875" cy="342900"/>
        </a:xfrm>
        <a:prstGeom prst="rect">
          <a:avLst/>
        </a:prstGeom>
        <a:solidFill>
          <a:srgbClr val="FFFFFF"/>
        </a:solidFill>
        <a:ln w="9525">
          <a:solidFill>
            <a:srgbClr val="000000"/>
          </a:solidFill>
          <a:miter lim="800000"/>
          <a:headEnd/>
          <a:tailEnd/>
        </a:ln>
      </xdr:spPr>
    </xdr:sp>
    <xdr:clientData/>
  </xdr:twoCellAnchor>
  <xdr:twoCellAnchor>
    <xdr:from>
      <xdr:col>15</xdr:col>
      <xdr:colOff>0</xdr:colOff>
      <xdr:row>22</xdr:row>
      <xdr:rowOff>0</xdr:rowOff>
    </xdr:from>
    <xdr:to>
      <xdr:col>15</xdr:col>
      <xdr:colOff>523875</xdr:colOff>
      <xdr:row>23</xdr:row>
      <xdr:rowOff>171450</xdr:rowOff>
    </xdr:to>
    <xdr:sp macro="" textlink="">
      <xdr:nvSpPr>
        <xdr:cNvPr id="4621247" name="Rectangle 1">
          <a:extLst>
            <a:ext uri="{FF2B5EF4-FFF2-40B4-BE49-F238E27FC236}">
              <a16:creationId xmlns:a16="http://schemas.microsoft.com/office/drawing/2014/main" id="{CB9F7A5C-C787-449B-9CE2-88E722CBEA98}"/>
            </a:ext>
          </a:extLst>
        </xdr:cNvPr>
        <xdr:cNvSpPr>
          <a:spLocks noChangeArrowheads="1"/>
        </xdr:cNvSpPr>
      </xdr:nvSpPr>
      <xdr:spPr bwMode="auto">
        <a:xfrm>
          <a:off x="7029450" y="3790950"/>
          <a:ext cx="523875" cy="342900"/>
        </a:xfrm>
        <a:prstGeom prst="rect">
          <a:avLst/>
        </a:prstGeom>
        <a:solidFill>
          <a:srgbClr val="FFFFFF"/>
        </a:solidFill>
        <a:ln w="9525">
          <a:solidFill>
            <a:srgbClr val="000000"/>
          </a:solidFill>
          <a:miter lim="800000"/>
          <a:headEnd/>
          <a:tailEnd/>
        </a:ln>
      </xdr:spPr>
    </xdr:sp>
    <xdr:clientData/>
  </xdr:twoCellAnchor>
  <xdr:twoCellAnchor>
    <xdr:from>
      <xdr:col>14</xdr:col>
      <xdr:colOff>209061</xdr:colOff>
      <xdr:row>30</xdr:row>
      <xdr:rowOff>19050</xdr:rowOff>
    </xdr:from>
    <xdr:to>
      <xdr:col>15</xdr:col>
      <xdr:colOff>123337</xdr:colOff>
      <xdr:row>32</xdr:row>
      <xdr:rowOff>0</xdr:rowOff>
    </xdr:to>
    <xdr:sp macro="" textlink="">
      <xdr:nvSpPr>
        <xdr:cNvPr id="4621248" name="Rectangle 1">
          <a:extLst>
            <a:ext uri="{FF2B5EF4-FFF2-40B4-BE49-F238E27FC236}">
              <a16:creationId xmlns:a16="http://schemas.microsoft.com/office/drawing/2014/main" id="{98C9B076-DB15-4978-9E60-49EFC7C232A8}"/>
            </a:ext>
          </a:extLst>
        </xdr:cNvPr>
        <xdr:cNvSpPr>
          <a:spLocks noChangeArrowheads="1"/>
        </xdr:cNvSpPr>
      </xdr:nvSpPr>
      <xdr:spPr bwMode="auto">
        <a:xfrm>
          <a:off x="7604369" y="5030665"/>
          <a:ext cx="617660" cy="313104"/>
        </a:xfrm>
        <a:prstGeom prst="rect">
          <a:avLst/>
        </a:prstGeom>
        <a:solidFill>
          <a:srgbClr val="FFFFFF"/>
        </a:solidFill>
        <a:ln w="9525">
          <a:solidFill>
            <a:srgbClr val="000000"/>
          </a:solidFill>
          <a:miter lim="800000"/>
          <a:headEnd/>
          <a:tailEnd/>
        </a:ln>
      </xdr:spPr>
    </xdr:sp>
    <xdr:clientData/>
  </xdr:twoCellAnchor>
  <xdr:twoCellAnchor>
    <xdr:from>
      <xdr:col>15</xdr:col>
      <xdr:colOff>9525</xdr:colOff>
      <xdr:row>37</xdr:row>
      <xdr:rowOff>171450</xdr:rowOff>
    </xdr:from>
    <xdr:to>
      <xdr:col>15</xdr:col>
      <xdr:colOff>533400</xdr:colOff>
      <xdr:row>39</xdr:row>
      <xdr:rowOff>152400</xdr:rowOff>
    </xdr:to>
    <xdr:sp macro="" textlink="">
      <xdr:nvSpPr>
        <xdr:cNvPr id="4621249" name="Rectangle 1">
          <a:extLst>
            <a:ext uri="{FF2B5EF4-FFF2-40B4-BE49-F238E27FC236}">
              <a16:creationId xmlns:a16="http://schemas.microsoft.com/office/drawing/2014/main" id="{634A1807-9005-4100-BEA5-3914790DE39F}"/>
            </a:ext>
          </a:extLst>
        </xdr:cNvPr>
        <xdr:cNvSpPr>
          <a:spLocks noChangeArrowheads="1"/>
        </xdr:cNvSpPr>
      </xdr:nvSpPr>
      <xdr:spPr bwMode="auto">
        <a:xfrm>
          <a:off x="7038975" y="6534150"/>
          <a:ext cx="523875" cy="32385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2</xdr:row>
      <xdr:rowOff>66675</xdr:rowOff>
    </xdr:from>
    <xdr:to>
      <xdr:col>3</xdr:col>
      <xdr:colOff>1019175</xdr:colOff>
      <xdr:row>3</xdr:row>
      <xdr:rowOff>161925</xdr:rowOff>
    </xdr:to>
    <xdr:sp macro="" textlink="">
      <xdr:nvSpPr>
        <xdr:cNvPr id="4455891" name="Rectangle 4">
          <a:extLst>
            <a:ext uri="{FF2B5EF4-FFF2-40B4-BE49-F238E27FC236}">
              <a16:creationId xmlns:a16="http://schemas.microsoft.com/office/drawing/2014/main" id="{4B19B566-7F7E-4EED-B705-18CB2731234A}"/>
            </a:ext>
          </a:extLst>
        </xdr:cNvPr>
        <xdr:cNvSpPr>
          <a:spLocks noChangeArrowheads="1"/>
        </xdr:cNvSpPr>
      </xdr:nvSpPr>
      <xdr:spPr bwMode="auto">
        <a:xfrm>
          <a:off x="2933700" y="495300"/>
          <a:ext cx="752475" cy="352425"/>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76200</xdr:colOff>
      <xdr:row>83</xdr:row>
      <xdr:rowOff>161925</xdr:rowOff>
    </xdr:from>
    <xdr:to>
      <xdr:col>8</xdr:col>
      <xdr:colOff>9525</xdr:colOff>
      <xdr:row>85</xdr:row>
      <xdr:rowOff>114300</xdr:rowOff>
    </xdr:to>
    <xdr:grpSp>
      <xdr:nvGrpSpPr>
        <xdr:cNvPr id="4648546" name="Groupe 144">
          <a:extLst>
            <a:ext uri="{FF2B5EF4-FFF2-40B4-BE49-F238E27FC236}">
              <a16:creationId xmlns:a16="http://schemas.microsoft.com/office/drawing/2014/main" id="{B0EDC8E4-4032-4BAC-88C8-EC5142068AC1}"/>
            </a:ext>
          </a:extLst>
        </xdr:cNvPr>
        <xdr:cNvGrpSpPr>
          <a:grpSpLocks/>
        </xdr:cNvGrpSpPr>
      </xdr:nvGrpSpPr>
      <xdr:grpSpPr bwMode="auto">
        <a:xfrm>
          <a:off x="1956777" y="14210079"/>
          <a:ext cx="714863" cy="294298"/>
          <a:chOff x="4429125" y="27365325"/>
          <a:chExt cx="781050" cy="371475"/>
        </a:xfrm>
      </xdr:grpSpPr>
      <xdr:sp macro="" textlink="">
        <xdr:nvSpPr>
          <xdr:cNvPr id="4648758" name="Rectangle 145">
            <a:extLst>
              <a:ext uri="{FF2B5EF4-FFF2-40B4-BE49-F238E27FC236}">
                <a16:creationId xmlns:a16="http://schemas.microsoft.com/office/drawing/2014/main" id="{829578F9-37CE-4B4F-839D-1E97A58B90FC}"/>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4648759" name="Rectangle 146">
            <a:extLst>
              <a:ext uri="{FF2B5EF4-FFF2-40B4-BE49-F238E27FC236}">
                <a16:creationId xmlns:a16="http://schemas.microsoft.com/office/drawing/2014/main" id="{FBC28006-B413-457D-8440-B72A2BC23D6D}"/>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6</xdr:col>
      <xdr:colOff>0</xdr:colOff>
      <xdr:row>70</xdr:row>
      <xdr:rowOff>38100</xdr:rowOff>
    </xdr:from>
    <xdr:to>
      <xdr:col>7</xdr:col>
      <xdr:colOff>285750</xdr:colOff>
      <xdr:row>71</xdr:row>
      <xdr:rowOff>142875</xdr:rowOff>
    </xdr:to>
    <xdr:grpSp>
      <xdr:nvGrpSpPr>
        <xdr:cNvPr id="4648547" name="Groupe 147">
          <a:extLst>
            <a:ext uri="{FF2B5EF4-FFF2-40B4-BE49-F238E27FC236}">
              <a16:creationId xmlns:a16="http://schemas.microsoft.com/office/drawing/2014/main" id="{120F7401-1ABE-4ECA-ADA1-E66B79052A98}"/>
            </a:ext>
          </a:extLst>
        </xdr:cNvPr>
        <xdr:cNvGrpSpPr>
          <a:grpSpLocks/>
        </xdr:cNvGrpSpPr>
      </xdr:nvGrpSpPr>
      <xdr:grpSpPr bwMode="auto">
        <a:xfrm>
          <a:off x="1880577" y="11932138"/>
          <a:ext cx="637442" cy="275737"/>
          <a:chOff x="4429125" y="27365325"/>
          <a:chExt cx="781050" cy="371475"/>
        </a:xfrm>
      </xdr:grpSpPr>
      <xdr:sp macro="" textlink="">
        <xdr:nvSpPr>
          <xdr:cNvPr id="4648756" name="Rectangle 148">
            <a:extLst>
              <a:ext uri="{FF2B5EF4-FFF2-40B4-BE49-F238E27FC236}">
                <a16:creationId xmlns:a16="http://schemas.microsoft.com/office/drawing/2014/main" id="{CA3A0136-A637-4418-B80A-911B0559435C}"/>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4648757" name="Rectangle 149">
            <a:extLst>
              <a:ext uri="{FF2B5EF4-FFF2-40B4-BE49-F238E27FC236}">
                <a16:creationId xmlns:a16="http://schemas.microsoft.com/office/drawing/2014/main" id="{7104704F-F5DB-481D-8AF8-3645D7BC592F}"/>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1</xdr:col>
      <xdr:colOff>9525</xdr:colOff>
      <xdr:row>62</xdr:row>
      <xdr:rowOff>47625</xdr:rowOff>
    </xdr:from>
    <xdr:to>
      <xdr:col>8</xdr:col>
      <xdr:colOff>171450</xdr:colOff>
      <xdr:row>64</xdr:row>
      <xdr:rowOff>85725</xdr:rowOff>
    </xdr:to>
    <xdr:grpSp>
      <xdr:nvGrpSpPr>
        <xdr:cNvPr id="4648548" name="Groupe 150">
          <a:extLst>
            <a:ext uri="{FF2B5EF4-FFF2-40B4-BE49-F238E27FC236}">
              <a16:creationId xmlns:a16="http://schemas.microsoft.com/office/drawing/2014/main" id="{F2CA794D-167F-491F-90C1-DE36688F0448}"/>
            </a:ext>
          </a:extLst>
        </xdr:cNvPr>
        <xdr:cNvGrpSpPr>
          <a:grpSpLocks/>
        </xdr:cNvGrpSpPr>
      </xdr:nvGrpSpPr>
      <xdr:grpSpPr bwMode="auto">
        <a:xfrm>
          <a:off x="390525" y="10603279"/>
          <a:ext cx="2443040" cy="380023"/>
          <a:chOff x="5295900" y="29260657"/>
          <a:chExt cx="2447926" cy="285893"/>
        </a:xfrm>
      </xdr:grpSpPr>
      <xdr:grpSp>
        <xdr:nvGrpSpPr>
          <xdr:cNvPr id="4648747" name="Groupe 24">
            <a:extLst>
              <a:ext uri="{FF2B5EF4-FFF2-40B4-BE49-F238E27FC236}">
                <a16:creationId xmlns:a16="http://schemas.microsoft.com/office/drawing/2014/main" id="{2CC7C58A-3C45-4B3A-9D43-72A93D098C9A}"/>
              </a:ext>
            </a:extLst>
          </xdr:cNvPr>
          <xdr:cNvGrpSpPr>
            <a:grpSpLocks/>
          </xdr:cNvGrpSpPr>
        </xdr:nvGrpSpPr>
        <xdr:grpSpPr bwMode="auto">
          <a:xfrm>
            <a:off x="6124574" y="29260800"/>
            <a:ext cx="790576" cy="285750"/>
            <a:chOff x="7439024" y="28575000"/>
            <a:chExt cx="790576" cy="285750"/>
          </a:xfrm>
        </xdr:grpSpPr>
        <xdr:sp macro="" textlink="">
          <xdr:nvSpPr>
            <xdr:cNvPr id="4648754" name="Rectangle 158">
              <a:extLst>
                <a:ext uri="{FF2B5EF4-FFF2-40B4-BE49-F238E27FC236}">
                  <a16:creationId xmlns:a16="http://schemas.microsoft.com/office/drawing/2014/main" id="{DC3550B9-569B-4690-8076-F2FC786EB63C}"/>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55" name="Rectangle 159">
              <a:extLst>
                <a:ext uri="{FF2B5EF4-FFF2-40B4-BE49-F238E27FC236}">
                  <a16:creationId xmlns:a16="http://schemas.microsoft.com/office/drawing/2014/main" id="{0338AE88-076F-4834-A332-529F95866A39}"/>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748" name="Groupe 25">
            <a:extLst>
              <a:ext uri="{FF2B5EF4-FFF2-40B4-BE49-F238E27FC236}">
                <a16:creationId xmlns:a16="http://schemas.microsoft.com/office/drawing/2014/main" id="{46D822F2-947C-4A79-8AC5-36CD150CBC7F}"/>
              </a:ext>
            </a:extLst>
          </xdr:cNvPr>
          <xdr:cNvGrpSpPr>
            <a:grpSpLocks/>
          </xdr:cNvGrpSpPr>
        </xdr:nvGrpSpPr>
        <xdr:grpSpPr bwMode="auto">
          <a:xfrm>
            <a:off x="5295900" y="29260657"/>
            <a:ext cx="790576" cy="285893"/>
            <a:chOff x="7439024" y="28574857"/>
            <a:chExt cx="790576" cy="285893"/>
          </a:xfrm>
        </xdr:grpSpPr>
        <xdr:sp macro="" textlink="">
          <xdr:nvSpPr>
            <xdr:cNvPr id="4648752" name="Rectangle 156">
              <a:extLst>
                <a:ext uri="{FF2B5EF4-FFF2-40B4-BE49-F238E27FC236}">
                  <a16:creationId xmlns:a16="http://schemas.microsoft.com/office/drawing/2014/main" id="{CB366048-235C-4092-8E16-134F655D1C79}"/>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53" name="Rectangle 157">
              <a:extLst>
                <a:ext uri="{FF2B5EF4-FFF2-40B4-BE49-F238E27FC236}">
                  <a16:creationId xmlns:a16="http://schemas.microsoft.com/office/drawing/2014/main" id="{9C743D2E-FF8C-48E0-9879-0AC0D8FCAAB7}"/>
                </a:ext>
              </a:extLst>
            </xdr:cNvPr>
            <xdr:cNvSpPr>
              <a:spLocks noChangeArrowheads="1"/>
            </xdr:cNvSpPr>
          </xdr:nvSpPr>
          <xdr:spPr bwMode="auto">
            <a:xfrm>
              <a:off x="7858125" y="28574857"/>
              <a:ext cx="371475" cy="285749"/>
            </a:xfrm>
            <a:prstGeom prst="rect">
              <a:avLst/>
            </a:prstGeom>
            <a:solidFill>
              <a:srgbClr val="FFFFFF"/>
            </a:solidFill>
            <a:ln w="9525" algn="ctr">
              <a:solidFill>
                <a:srgbClr val="000000"/>
              </a:solidFill>
              <a:round/>
              <a:headEnd/>
              <a:tailEnd/>
            </a:ln>
          </xdr:spPr>
        </xdr:sp>
      </xdr:grpSp>
      <xdr:grpSp>
        <xdr:nvGrpSpPr>
          <xdr:cNvPr id="4648749" name="Groupe 28">
            <a:extLst>
              <a:ext uri="{FF2B5EF4-FFF2-40B4-BE49-F238E27FC236}">
                <a16:creationId xmlns:a16="http://schemas.microsoft.com/office/drawing/2014/main" id="{9845C289-1EAD-45AB-9A7F-E5D0B0D070C3}"/>
              </a:ext>
            </a:extLst>
          </xdr:cNvPr>
          <xdr:cNvGrpSpPr>
            <a:grpSpLocks/>
          </xdr:cNvGrpSpPr>
        </xdr:nvGrpSpPr>
        <xdr:grpSpPr bwMode="auto">
          <a:xfrm>
            <a:off x="6953250" y="29260800"/>
            <a:ext cx="790576" cy="285750"/>
            <a:chOff x="7439024" y="28575000"/>
            <a:chExt cx="790576" cy="285750"/>
          </a:xfrm>
        </xdr:grpSpPr>
        <xdr:sp macro="" textlink="">
          <xdr:nvSpPr>
            <xdr:cNvPr id="4648750" name="Rectangle 154">
              <a:extLst>
                <a:ext uri="{FF2B5EF4-FFF2-40B4-BE49-F238E27FC236}">
                  <a16:creationId xmlns:a16="http://schemas.microsoft.com/office/drawing/2014/main" id="{DE4DA527-0DF8-45FC-A53F-54CB9E095DB5}"/>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51" name="Rectangle 155">
              <a:extLst>
                <a:ext uri="{FF2B5EF4-FFF2-40B4-BE49-F238E27FC236}">
                  <a16:creationId xmlns:a16="http://schemas.microsoft.com/office/drawing/2014/main" id="{966DBAED-F805-4910-A29A-12BC0226BB76}"/>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25</xdr:col>
      <xdr:colOff>57150</xdr:colOff>
      <xdr:row>6</xdr:row>
      <xdr:rowOff>0</xdr:rowOff>
    </xdr:from>
    <xdr:to>
      <xdr:col>26</xdr:col>
      <xdr:colOff>57150</xdr:colOff>
      <xdr:row>6</xdr:row>
      <xdr:rowOff>152400</xdr:rowOff>
    </xdr:to>
    <xdr:sp macro="" textlink="">
      <xdr:nvSpPr>
        <xdr:cNvPr id="4648549" name="Rectangle 161">
          <a:extLst>
            <a:ext uri="{FF2B5EF4-FFF2-40B4-BE49-F238E27FC236}">
              <a16:creationId xmlns:a16="http://schemas.microsoft.com/office/drawing/2014/main" id="{D5D8A10D-DCBB-4047-A7C0-E170059B3225}"/>
            </a:ext>
          </a:extLst>
        </xdr:cNvPr>
        <xdr:cNvSpPr>
          <a:spLocks noChangeArrowheads="1"/>
        </xdr:cNvSpPr>
      </xdr:nvSpPr>
      <xdr:spPr bwMode="auto">
        <a:xfrm>
          <a:off x="8372475" y="1047750"/>
          <a:ext cx="323850" cy="152400"/>
        </a:xfrm>
        <a:prstGeom prst="rect">
          <a:avLst/>
        </a:prstGeom>
        <a:solidFill>
          <a:srgbClr val="FFFFFF"/>
        </a:solidFill>
        <a:ln w="9525" algn="ctr">
          <a:solidFill>
            <a:srgbClr val="000000"/>
          </a:solidFill>
          <a:round/>
          <a:headEnd/>
          <a:tailEnd/>
        </a:ln>
      </xdr:spPr>
    </xdr:sp>
    <xdr:clientData/>
  </xdr:twoCellAnchor>
  <xdr:twoCellAnchor>
    <xdr:from>
      <xdr:col>25</xdr:col>
      <xdr:colOff>0</xdr:colOff>
      <xdr:row>42</xdr:row>
      <xdr:rowOff>0</xdr:rowOff>
    </xdr:from>
    <xdr:to>
      <xdr:col>26</xdr:col>
      <xdr:colOff>19050</xdr:colOff>
      <xdr:row>44</xdr:row>
      <xdr:rowOff>57150</xdr:rowOff>
    </xdr:to>
    <xdr:sp macro="" textlink="">
      <xdr:nvSpPr>
        <xdr:cNvPr id="4648550" name="Rectangle 212">
          <a:extLst>
            <a:ext uri="{FF2B5EF4-FFF2-40B4-BE49-F238E27FC236}">
              <a16:creationId xmlns:a16="http://schemas.microsoft.com/office/drawing/2014/main" id="{049FC7DC-796E-481D-94D8-6FC7DF1F2DE2}"/>
            </a:ext>
          </a:extLst>
        </xdr:cNvPr>
        <xdr:cNvSpPr>
          <a:spLocks noChangeArrowheads="1"/>
        </xdr:cNvSpPr>
      </xdr:nvSpPr>
      <xdr:spPr bwMode="auto">
        <a:xfrm>
          <a:off x="8315325" y="7134225"/>
          <a:ext cx="342900" cy="400050"/>
        </a:xfrm>
        <a:prstGeom prst="rect">
          <a:avLst/>
        </a:prstGeom>
        <a:solidFill>
          <a:srgbClr val="FFFFFF"/>
        </a:solidFill>
        <a:ln w="9525" algn="ctr">
          <a:solidFill>
            <a:srgbClr val="000000"/>
          </a:solidFill>
          <a:round/>
          <a:headEnd/>
          <a:tailEnd/>
        </a:ln>
      </xdr:spPr>
    </xdr:sp>
    <xdr:clientData/>
  </xdr:twoCellAnchor>
  <xdr:twoCellAnchor>
    <xdr:from>
      <xdr:col>24</xdr:col>
      <xdr:colOff>0</xdr:colOff>
      <xdr:row>38</xdr:row>
      <xdr:rowOff>0</xdr:rowOff>
    </xdr:from>
    <xdr:to>
      <xdr:col>25</xdr:col>
      <xdr:colOff>57150</xdr:colOff>
      <xdr:row>39</xdr:row>
      <xdr:rowOff>123825</xdr:rowOff>
    </xdr:to>
    <xdr:sp macro="" textlink="">
      <xdr:nvSpPr>
        <xdr:cNvPr id="4648551" name="Rectangle 213">
          <a:extLst>
            <a:ext uri="{FF2B5EF4-FFF2-40B4-BE49-F238E27FC236}">
              <a16:creationId xmlns:a16="http://schemas.microsoft.com/office/drawing/2014/main" id="{52C12AF5-A47C-412F-9238-AABB84362926}"/>
            </a:ext>
          </a:extLst>
        </xdr:cNvPr>
        <xdr:cNvSpPr>
          <a:spLocks noChangeArrowheads="1"/>
        </xdr:cNvSpPr>
      </xdr:nvSpPr>
      <xdr:spPr bwMode="auto">
        <a:xfrm>
          <a:off x="7991475" y="6448425"/>
          <a:ext cx="381000" cy="295275"/>
        </a:xfrm>
        <a:prstGeom prst="rect">
          <a:avLst/>
        </a:prstGeom>
        <a:solidFill>
          <a:srgbClr val="FFFFFF"/>
        </a:solidFill>
        <a:ln w="9525" algn="ctr">
          <a:solidFill>
            <a:srgbClr val="000000"/>
          </a:solidFill>
          <a:round/>
          <a:headEnd/>
          <a:tailEnd/>
        </a:ln>
      </xdr:spPr>
    </xdr:sp>
    <xdr:clientData/>
  </xdr:twoCellAnchor>
  <xdr:twoCellAnchor>
    <xdr:from>
      <xdr:col>23</xdr:col>
      <xdr:colOff>304800</xdr:colOff>
      <xdr:row>34</xdr:row>
      <xdr:rowOff>38100</xdr:rowOff>
    </xdr:from>
    <xdr:to>
      <xdr:col>24</xdr:col>
      <xdr:colOff>285750</xdr:colOff>
      <xdr:row>36</xdr:row>
      <xdr:rowOff>95250</xdr:rowOff>
    </xdr:to>
    <xdr:sp macro="" textlink="">
      <xdr:nvSpPr>
        <xdr:cNvPr id="4648552" name="Rectangle 214">
          <a:extLst>
            <a:ext uri="{FF2B5EF4-FFF2-40B4-BE49-F238E27FC236}">
              <a16:creationId xmlns:a16="http://schemas.microsoft.com/office/drawing/2014/main" id="{1B5200F0-3BD1-471A-8C01-C0AE4E5CBCAA}"/>
            </a:ext>
          </a:extLst>
        </xdr:cNvPr>
        <xdr:cNvSpPr>
          <a:spLocks noChangeArrowheads="1"/>
        </xdr:cNvSpPr>
      </xdr:nvSpPr>
      <xdr:spPr bwMode="auto">
        <a:xfrm>
          <a:off x="7896225" y="5810250"/>
          <a:ext cx="381000" cy="390525"/>
        </a:xfrm>
        <a:prstGeom prst="rect">
          <a:avLst/>
        </a:prstGeom>
        <a:solidFill>
          <a:srgbClr val="FFFFFF"/>
        </a:solidFill>
        <a:ln w="9525" algn="ctr">
          <a:solidFill>
            <a:srgbClr val="000000"/>
          </a:solidFill>
          <a:round/>
          <a:headEnd/>
          <a:tailEnd/>
        </a:ln>
      </xdr:spPr>
    </xdr:sp>
    <xdr:clientData/>
  </xdr:twoCellAnchor>
  <xdr:twoCellAnchor>
    <xdr:from>
      <xdr:col>7</xdr:col>
      <xdr:colOff>276225</xdr:colOff>
      <xdr:row>8</xdr:row>
      <xdr:rowOff>38100</xdr:rowOff>
    </xdr:from>
    <xdr:to>
      <xdr:col>8</xdr:col>
      <xdr:colOff>276225</xdr:colOff>
      <xdr:row>10</xdr:row>
      <xdr:rowOff>104775</xdr:rowOff>
    </xdr:to>
    <xdr:sp macro="" textlink="">
      <xdr:nvSpPr>
        <xdr:cNvPr id="4648553" name="Rectangle 241">
          <a:extLst>
            <a:ext uri="{FF2B5EF4-FFF2-40B4-BE49-F238E27FC236}">
              <a16:creationId xmlns:a16="http://schemas.microsoft.com/office/drawing/2014/main" id="{F3108A91-C9BC-4057-ADC7-9CA31EC59575}"/>
            </a:ext>
          </a:extLst>
        </xdr:cNvPr>
        <xdr:cNvSpPr>
          <a:spLocks noChangeArrowheads="1"/>
        </xdr:cNvSpPr>
      </xdr:nvSpPr>
      <xdr:spPr bwMode="auto">
        <a:xfrm>
          <a:off x="2400300" y="1419225"/>
          <a:ext cx="409575" cy="409575"/>
        </a:xfrm>
        <a:prstGeom prst="rect">
          <a:avLst/>
        </a:prstGeom>
        <a:solidFill>
          <a:srgbClr val="FFFFFF"/>
        </a:solidFill>
        <a:ln w="9525" algn="ctr">
          <a:solidFill>
            <a:srgbClr val="000000"/>
          </a:solidFill>
          <a:round/>
          <a:headEnd/>
          <a:tailEnd/>
        </a:ln>
      </xdr:spPr>
    </xdr:sp>
    <xdr:clientData/>
  </xdr:twoCellAnchor>
  <xdr:twoCellAnchor>
    <xdr:from>
      <xdr:col>7</xdr:col>
      <xdr:colOff>200025</xdr:colOff>
      <xdr:row>26</xdr:row>
      <xdr:rowOff>28575</xdr:rowOff>
    </xdr:from>
    <xdr:to>
      <xdr:col>8</xdr:col>
      <xdr:colOff>209550</xdr:colOff>
      <xdr:row>27</xdr:row>
      <xdr:rowOff>161925</xdr:rowOff>
    </xdr:to>
    <xdr:sp macro="" textlink="">
      <xdr:nvSpPr>
        <xdr:cNvPr id="4648554" name="Rectangle 243">
          <a:extLst>
            <a:ext uri="{FF2B5EF4-FFF2-40B4-BE49-F238E27FC236}">
              <a16:creationId xmlns:a16="http://schemas.microsoft.com/office/drawing/2014/main" id="{3CABAB29-85DA-48A5-A883-02A101152353}"/>
            </a:ext>
            <a:ext uri="{147F2762-F138-4A5C-976F-8EAC2B608ADB}">
              <a16:predDERef xmlns:a16="http://schemas.microsoft.com/office/drawing/2014/main" pred="{F3108A91-C9BC-4057-ADC7-9CA31EC59575}"/>
            </a:ext>
          </a:extLst>
        </xdr:cNvPr>
        <xdr:cNvSpPr>
          <a:spLocks noChangeArrowheads="1"/>
        </xdr:cNvSpPr>
      </xdr:nvSpPr>
      <xdr:spPr bwMode="auto">
        <a:xfrm>
          <a:off x="2324100" y="4438650"/>
          <a:ext cx="419100" cy="304800"/>
        </a:xfrm>
        <a:prstGeom prst="rect">
          <a:avLst/>
        </a:prstGeom>
        <a:solidFill>
          <a:srgbClr val="FFFFFF"/>
        </a:solidFill>
        <a:ln w="9525" algn="ctr">
          <a:solidFill>
            <a:srgbClr val="000000"/>
          </a:solidFill>
          <a:round/>
          <a:headEnd/>
          <a:tailEnd/>
        </a:ln>
      </xdr:spPr>
    </xdr:sp>
    <xdr:clientData/>
  </xdr:twoCellAnchor>
  <xdr:twoCellAnchor>
    <xdr:from>
      <xdr:col>0</xdr:col>
      <xdr:colOff>133350</xdr:colOff>
      <xdr:row>38</xdr:row>
      <xdr:rowOff>85725</xdr:rowOff>
    </xdr:from>
    <xdr:to>
      <xdr:col>8</xdr:col>
      <xdr:colOff>238125</xdr:colOff>
      <xdr:row>40</xdr:row>
      <xdr:rowOff>57150</xdr:rowOff>
    </xdr:to>
    <xdr:grpSp>
      <xdr:nvGrpSpPr>
        <xdr:cNvPr id="4648555" name="Groupe 244">
          <a:extLst>
            <a:ext uri="{FF2B5EF4-FFF2-40B4-BE49-F238E27FC236}">
              <a16:creationId xmlns:a16="http://schemas.microsoft.com/office/drawing/2014/main" id="{D0E310C1-763D-402D-8C7E-CE054FF0A88A}"/>
            </a:ext>
          </a:extLst>
        </xdr:cNvPr>
        <xdr:cNvGrpSpPr>
          <a:grpSpLocks/>
        </xdr:cNvGrpSpPr>
      </xdr:nvGrpSpPr>
      <xdr:grpSpPr bwMode="auto">
        <a:xfrm>
          <a:off x="133350" y="6606687"/>
          <a:ext cx="2766890" cy="313348"/>
          <a:chOff x="7010400" y="9553575"/>
          <a:chExt cx="2886076" cy="285751"/>
        </a:xfrm>
      </xdr:grpSpPr>
      <xdr:grpSp>
        <xdr:nvGrpSpPr>
          <xdr:cNvPr id="4648736" name="Groupe 188">
            <a:extLst>
              <a:ext uri="{FF2B5EF4-FFF2-40B4-BE49-F238E27FC236}">
                <a16:creationId xmlns:a16="http://schemas.microsoft.com/office/drawing/2014/main" id="{C7DD3BF2-1DF0-4D62-97A4-FE809F7ACBD5}"/>
              </a:ext>
            </a:extLst>
          </xdr:cNvPr>
          <xdr:cNvGrpSpPr>
            <a:grpSpLocks/>
          </xdr:cNvGrpSpPr>
        </xdr:nvGrpSpPr>
        <xdr:grpSpPr bwMode="auto">
          <a:xfrm>
            <a:off x="7448550" y="9553575"/>
            <a:ext cx="2447926" cy="285750"/>
            <a:chOff x="5295900" y="29260800"/>
            <a:chExt cx="2447926" cy="285750"/>
          </a:xfrm>
        </xdr:grpSpPr>
        <xdr:grpSp>
          <xdr:nvGrpSpPr>
            <xdr:cNvPr id="4648738" name="Groupe 24">
              <a:extLst>
                <a:ext uri="{FF2B5EF4-FFF2-40B4-BE49-F238E27FC236}">
                  <a16:creationId xmlns:a16="http://schemas.microsoft.com/office/drawing/2014/main" id="{76746ADA-A957-4374-8735-773CB3F73308}"/>
                </a:ext>
              </a:extLst>
            </xdr:cNvPr>
            <xdr:cNvGrpSpPr>
              <a:grpSpLocks/>
            </xdr:cNvGrpSpPr>
          </xdr:nvGrpSpPr>
          <xdr:grpSpPr bwMode="auto">
            <a:xfrm>
              <a:off x="6124574" y="29260800"/>
              <a:ext cx="790576" cy="285750"/>
              <a:chOff x="7439024" y="28575000"/>
              <a:chExt cx="790576" cy="285750"/>
            </a:xfrm>
          </xdr:grpSpPr>
          <xdr:sp macro="" textlink="">
            <xdr:nvSpPr>
              <xdr:cNvPr id="4648745" name="Rectangle 254">
                <a:extLst>
                  <a:ext uri="{FF2B5EF4-FFF2-40B4-BE49-F238E27FC236}">
                    <a16:creationId xmlns:a16="http://schemas.microsoft.com/office/drawing/2014/main" id="{76235FF2-0B70-461C-A8A3-512BF63A9218}"/>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46" name="Rectangle 255">
                <a:extLst>
                  <a:ext uri="{FF2B5EF4-FFF2-40B4-BE49-F238E27FC236}">
                    <a16:creationId xmlns:a16="http://schemas.microsoft.com/office/drawing/2014/main" id="{78D46D61-539C-4ADC-839D-51B41A0D759E}"/>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739" name="Groupe 25">
              <a:extLst>
                <a:ext uri="{FF2B5EF4-FFF2-40B4-BE49-F238E27FC236}">
                  <a16:creationId xmlns:a16="http://schemas.microsoft.com/office/drawing/2014/main" id="{7F147798-3573-4C09-940F-E7BABDB3F5E7}"/>
                </a:ext>
              </a:extLst>
            </xdr:cNvPr>
            <xdr:cNvGrpSpPr>
              <a:grpSpLocks/>
            </xdr:cNvGrpSpPr>
          </xdr:nvGrpSpPr>
          <xdr:grpSpPr bwMode="auto">
            <a:xfrm>
              <a:off x="5295900" y="29260800"/>
              <a:ext cx="790576" cy="285750"/>
              <a:chOff x="7439024" y="28575000"/>
              <a:chExt cx="790576" cy="285750"/>
            </a:xfrm>
          </xdr:grpSpPr>
          <xdr:sp macro="" textlink="">
            <xdr:nvSpPr>
              <xdr:cNvPr id="4648743" name="Rectangle 252">
                <a:extLst>
                  <a:ext uri="{FF2B5EF4-FFF2-40B4-BE49-F238E27FC236}">
                    <a16:creationId xmlns:a16="http://schemas.microsoft.com/office/drawing/2014/main" id="{3D48FE64-B47F-4685-9CF1-40AB334093B8}"/>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44" name="Rectangle 253">
                <a:extLst>
                  <a:ext uri="{FF2B5EF4-FFF2-40B4-BE49-F238E27FC236}">
                    <a16:creationId xmlns:a16="http://schemas.microsoft.com/office/drawing/2014/main" id="{1C6576B0-ABC3-4BD5-81CA-DCD1E65FA57E}"/>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740" name="Groupe 28">
              <a:extLst>
                <a:ext uri="{FF2B5EF4-FFF2-40B4-BE49-F238E27FC236}">
                  <a16:creationId xmlns:a16="http://schemas.microsoft.com/office/drawing/2014/main" id="{B83E9C32-773F-4950-814B-D4047B5A9B35}"/>
                </a:ext>
              </a:extLst>
            </xdr:cNvPr>
            <xdr:cNvGrpSpPr>
              <a:grpSpLocks/>
            </xdr:cNvGrpSpPr>
          </xdr:nvGrpSpPr>
          <xdr:grpSpPr bwMode="auto">
            <a:xfrm>
              <a:off x="6953250" y="29260800"/>
              <a:ext cx="790576" cy="285750"/>
              <a:chOff x="7439024" y="28575000"/>
              <a:chExt cx="790576" cy="285750"/>
            </a:xfrm>
          </xdr:grpSpPr>
          <xdr:sp macro="" textlink="">
            <xdr:nvSpPr>
              <xdr:cNvPr id="4648741" name="Rectangle 250">
                <a:extLst>
                  <a:ext uri="{FF2B5EF4-FFF2-40B4-BE49-F238E27FC236}">
                    <a16:creationId xmlns:a16="http://schemas.microsoft.com/office/drawing/2014/main" id="{A2AA6439-4147-425D-80C9-4691E42640D8}"/>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42" name="Rectangle 251">
                <a:extLst>
                  <a:ext uri="{FF2B5EF4-FFF2-40B4-BE49-F238E27FC236}">
                    <a16:creationId xmlns:a16="http://schemas.microsoft.com/office/drawing/2014/main" id="{4A098FB2-8FE1-497E-9AFF-C5F2CA2D6DDF}"/>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sp macro="" textlink="">
        <xdr:nvSpPr>
          <xdr:cNvPr id="4648737" name="Rectangle 246">
            <a:extLst>
              <a:ext uri="{FF2B5EF4-FFF2-40B4-BE49-F238E27FC236}">
                <a16:creationId xmlns:a16="http://schemas.microsoft.com/office/drawing/2014/main" id="{72ADD2DC-918A-41CA-A31F-90A505CFAADA}"/>
              </a:ext>
            </a:extLst>
          </xdr:cNvPr>
          <xdr:cNvSpPr>
            <a:spLocks noChangeArrowheads="1"/>
          </xdr:cNvSpPr>
        </xdr:nvSpPr>
        <xdr:spPr bwMode="auto">
          <a:xfrm>
            <a:off x="7010400" y="9553576"/>
            <a:ext cx="371475" cy="285750"/>
          </a:xfrm>
          <a:prstGeom prst="rect">
            <a:avLst/>
          </a:prstGeom>
          <a:solidFill>
            <a:srgbClr val="FFFFFF"/>
          </a:solidFill>
          <a:ln w="9525" algn="ctr">
            <a:solidFill>
              <a:srgbClr val="000000"/>
            </a:solidFill>
            <a:round/>
            <a:headEnd/>
            <a:tailEnd/>
          </a:ln>
        </xdr:spPr>
      </xdr:sp>
    </xdr:grpSp>
    <xdr:clientData/>
  </xdr:twoCellAnchor>
  <xdr:twoCellAnchor>
    <xdr:from>
      <xdr:col>6</xdr:col>
      <xdr:colOff>247650</xdr:colOff>
      <xdr:row>42</xdr:row>
      <xdr:rowOff>57150</xdr:rowOff>
    </xdr:from>
    <xdr:to>
      <xdr:col>7</xdr:col>
      <xdr:colOff>314325</xdr:colOff>
      <xdr:row>44</xdr:row>
      <xdr:rowOff>104775</xdr:rowOff>
    </xdr:to>
    <xdr:sp macro="" textlink="">
      <xdr:nvSpPr>
        <xdr:cNvPr id="4648556" name="Rectangle 256">
          <a:extLst>
            <a:ext uri="{FF2B5EF4-FFF2-40B4-BE49-F238E27FC236}">
              <a16:creationId xmlns:a16="http://schemas.microsoft.com/office/drawing/2014/main" id="{F24DFA81-6822-46A7-A323-62C29F025126}"/>
            </a:ext>
          </a:extLst>
        </xdr:cNvPr>
        <xdr:cNvSpPr>
          <a:spLocks noChangeArrowheads="1"/>
        </xdr:cNvSpPr>
      </xdr:nvSpPr>
      <xdr:spPr bwMode="auto">
        <a:xfrm>
          <a:off x="2038350" y="7191375"/>
          <a:ext cx="400050" cy="390525"/>
        </a:xfrm>
        <a:prstGeom prst="rect">
          <a:avLst/>
        </a:prstGeom>
        <a:solidFill>
          <a:srgbClr val="FFFFFF"/>
        </a:solidFill>
        <a:ln w="9525" algn="ctr">
          <a:solidFill>
            <a:srgbClr val="000000"/>
          </a:solidFill>
          <a:round/>
          <a:headEnd/>
          <a:tailEnd/>
        </a:ln>
      </xdr:spPr>
    </xdr:sp>
    <xdr:clientData/>
  </xdr:twoCellAnchor>
  <xdr:twoCellAnchor>
    <xdr:from>
      <xdr:col>12</xdr:col>
      <xdr:colOff>200025</xdr:colOff>
      <xdr:row>0</xdr:row>
      <xdr:rowOff>123825</xdr:rowOff>
    </xdr:from>
    <xdr:to>
      <xdr:col>14</xdr:col>
      <xdr:colOff>28575</xdr:colOff>
      <xdr:row>2</xdr:row>
      <xdr:rowOff>142875</xdr:rowOff>
    </xdr:to>
    <xdr:grpSp>
      <xdr:nvGrpSpPr>
        <xdr:cNvPr id="4648557" name="Groupe 3">
          <a:extLst>
            <a:ext uri="{FF2B5EF4-FFF2-40B4-BE49-F238E27FC236}">
              <a16:creationId xmlns:a16="http://schemas.microsoft.com/office/drawing/2014/main" id="{255C983C-DDF6-48A4-A6A7-28462BEB7C30}"/>
            </a:ext>
          </a:extLst>
        </xdr:cNvPr>
        <xdr:cNvGrpSpPr>
          <a:grpSpLocks/>
        </xdr:cNvGrpSpPr>
      </xdr:nvGrpSpPr>
      <xdr:grpSpPr bwMode="auto">
        <a:xfrm>
          <a:off x="4151679" y="123825"/>
          <a:ext cx="629627" cy="380512"/>
          <a:chOff x="7343775" y="238125"/>
          <a:chExt cx="600075" cy="314325"/>
        </a:xfrm>
      </xdr:grpSpPr>
      <xdr:sp macro="" textlink="">
        <xdr:nvSpPr>
          <xdr:cNvPr id="4648734" name="Rectangle 1">
            <a:extLst>
              <a:ext uri="{FF2B5EF4-FFF2-40B4-BE49-F238E27FC236}">
                <a16:creationId xmlns:a16="http://schemas.microsoft.com/office/drawing/2014/main" id="{A8C9658A-F9CC-46B7-9E9A-78AF8808F011}"/>
              </a:ext>
            </a:extLst>
          </xdr:cNvPr>
          <xdr:cNvSpPr>
            <a:spLocks noChangeArrowheads="1"/>
          </xdr:cNvSpPr>
        </xdr:nvSpPr>
        <xdr:spPr bwMode="auto">
          <a:xfrm>
            <a:off x="7343775" y="238125"/>
            <a:ext cx="285750" cy="314325"/>
          </a:xfrm>
          <a:prstGeom prst="rect">
            <a:avLst/>
          </a:prstGeom>
          <a:solidFill>
            <a:srgbClr val="FFFFFF"/>
          </a:solidFill>
          <a:ln w="9525" algn="ctr">
            <a:solidFill>
              <a:srgbClr val="000000"/>
            </a:solidFill>
            <a:round/>
            <a:headEnd/>
            <a:tailEnd/>
          </a:ln>
        </xdr:spPr>
      </xdr:sp>
      <xdr:sp macro="" textlink="">
        <xdr:nvSpPr>
          <xdr:cNvPr id="4648735" name="Rectangle 2">
            <a:extLst>
              <a:ext uri="{FF2B5EF4-FFF2-40B4-BE49-F238E27FC236}">
                <a16:creationId xmlns:a16="http://schemas.microsoft.com/office/drawing/2014/main" id="{58278480-A414-4D67-BA8F-06ABB1A819FF}"/>
              </a:ext>
            </a:extLst>
          </xdr:cNvPr>
          <xdr:cNvSpPr>
            <a:spLocks noChangeArrowheads="1"/>
          </xdr:cNvSpPr>
        </xdr:nvSpPr>
        <xdr:spPr bwMode="auto">
          <a:xfrm>
            <a:off x="7658100" y="238125"/>
            <a:ext cx="285750" cy="314325"/>
          </a:xfrm>
          <a:prstGeom prst="rect">
            <a:avLst/>
          </a:prstGeom>
          <a:solidFill>
            <a:srgbClr val="FFFFFF"/>
          </a:solidFill>
          <a:ln w="9525" algn="ctr">
            <a:solidFill>
              <a:srgbClr val="000000"/>
            </a:solidFill>
            <a:round/>
            <a:headEnd/>
            <a:tailEnd/>
          </a:ln>
        </xdr:spPr>
      </xdr:sp>
    </xdr:grpSp>
    <xdr:clientData/>
  </xdr:twoCellAnchor>
  <xdr:twoCellAnchor>
    <xdr:from>
      <xdr:col>9</xdr:col>
      <xdr:colOff>247650</xdr:colOff>
      <xdr:row>13</xdr:row>
      <xdr:rowOff>9525</xdr:rowOff>
    </xdr:from>
    <xdr:to>
      <xdr:col>17</xdr:col>
      <xdr:colOff>314325</xdr:colOff>
      <xdr:row>14</xdr:row>
      <xdr:rowOff>152400</xdr:rowOff>
    </xdr:to>
    <xdr:grpSp>
      <xdr:nvGrpSpPr>
        <xdr:cNvPr id="4648558" name="Groupe 200">
          <a:extLst>
            <a:ext uri="{FF2B5EF4-FFF2-40B4-BE49-F238E27FC236}">
              <a16:creationId xmlns:a16="http://schemas.microsoft.com/office/drawing/2014/main" id="{316EB1D7-7AB7-4AD8-ABE5-5B24B23D7155}"/>
            </a:ext>
          </a:extLst>
        </xdr:cNvPr>
        <xdr:cNvGrpSpPr>
          <a:grpSpLocks/>
        </xdr:cNvGrpSpPr>
      </xdr:nvGrpSpPr>
      <xdr:grpSpPr bwMode="auto">
        <a:xfrm>
          <a:off x="3378688" y="2212487"/>
          <a:ext cx="2909522" cy="304067"/>
          <a:chOff x="7048500" y="9553575"/>
          <a:chExt cx="2847976" cy="295276"/>
        </a:xfrm>
      </xdr:grpSpPr>
      <xdr:grpSp>
        <xdr:nvGrpSpPr>
          <xdr:cNvPr id="4648723" name="Groupe 188">
            <a:extLst>
              <a:ext uri="{FF2B5EF4-FFF2-40B4-BE49-F238E27FC236}">
                <a16:creationId xmlns:a16="http://schemas.microsoft.com/office/drawing/2014/main" id="{837BC61F-B3D3-4D2B-970B-42CF5B020595}"/>
              </a:ext>
            </a:extLst>
          </xdr:cNvPr>
          <xdr:cNvGrpSpPr>
            <a:grpSpLocks/>
          </xdr:cNvGrpSpPr>
        </xdr:nvGrpSpPr>
        <xdr:grpSpPr bwMode="auto">
          <a:xfrm>
            <a:off x="7448550" y="9553575"/>
            <a:ext cx="2447926" cy="285750"/>
            <a:chOff x="5295900" y="29260800"/>
            <a:chExt cx="2447926" cy="285750"/>
          </a:xfrm>
        </xdr:grpSpPr>
        <xdr:grpSp>
          <xdr:nvGrpSpPr>
            <xdr:cNvPr id="4648725" name="Groupe 24">
              <a:extLst>
                <a:ext uri="{FF2B5EF4-FFF2-40B4-BE49-F238E27FC236}">
                  <a16:creationId xmlns:a16="http://schemas.microsoft.com/office/drawing/2014/main" id="{B03CE273-5C22-4699-9D6E-4F4AFFD54543}"/>
                </a:ext>
              </a:extLst>
            </xdr:cNvPr>
            <xdr:cNvGrpSpPr>
              <a:grpSpLocks/>
            </xdr:cNvGrpSpPr>
          </xdr:nvGrpSpPr>
          <xdr:grpSpPr bwMode="auto">
            <a:xfrm>
              <a:off x="6124574" y="29260800"/>
              <a:ext cx="790576" cy="285750"/>
              <a:chOff x="7439024" y="28575000"/>
              <a:chExt cx="790576" cy="285750"/>
            </a:xfrm>
          </xdr:grpSpPr>
          <xdr:sp macro="" textlink="">
            <xdr:nvSpPr>
              <xdr:cNvPr id="4648732" name="Rectangle 210">
                <a:extLst>
                  <a:ext uri="{FF2B5EF4-FFF2-40B4-BE49-F238E27FC236}">
                    <a16:creationId xmlns:a16="http://schemas.microsoft.com/office/drawing/2014/main" id="{4EC0C5F4-ED5C-43C4-8C5E-4332A3E15DB7}"/>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33" name="Rectangle 211">
                <a:extLst>
                  <a:ext uri="{FF2B5EF4-FFF2-40B4-BE49-F238E27FC236}">
                    <a16:creationId xmlns:a16="http://schemas.microsoft.com/office/drawing/2014/main" id="{81B28294-5B68-4F1A-8275-22F5CD2DFA71}"/>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726" name="Groupe 25">
              <a:extLst>
                <a:ext uri="{FF2B5EF4-FFF2-40B4-BE49-F238E27FC236}">
                  <a16:creationId xmlns:a16="http://schemas.microsoft.com/office/drawing/2014/main" id="{86CCAB46-AAA0-48DE-9183-4D46BD0148B9}"/>
                </a:ext>
              </a:extLst>
            </xdr:cNvPr>
            <xdr:cNvGrpSpPr>
              <a:grpSpLocks/>
            </xdr:cNvGrpSpPr>
          </xdr:nvGrpSpPr>
          <xdr:grpSpPr bwMode="auto">
            <a:xfrm>
              <a:off x="5295900" y="29260800"/>
              <a:ext cx="790576" cy="285750"/>
              <a:chOff x="7439024" y="28575000"/>
              <a:chExt cx="790576" cy="285750"/>
            </a:xfrm>
          </xdr:grpSpPr>
          <xdr:sp macro="" textlink="">
            <xdr:nvSpPr>
              <xdr:cNvPr id="4648730" name="Rectangle 208">
                <a:extLst>
                  <a:ext uri="{FF2B5EF4-FFF2-40B4-BE49-F238E27FC236}">
                    <a16:creationId xmlns:a16="http://schemas.microsoft.com/office/drawing/2014/main" id="{62D36128-371A-4538-A318-B3F8E430EFFB}"/>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31" name="Rectangle 209">
                <a:extLst>
                  <a:ext uri="{FF2B5EF4-FFF2-40B4-BE49-F238E27FC236}">
                    <a16:creationId xmlns:a16="http://schemas.microsoft.com/office/drawing/2014/main" id="{9367F9B9-E444-4389-B491-F661364FB605}"/>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727" name="Groupe 28">
              <a:extLst>
                <a:ext uri="{FF2B5EF4-FFF2-40B4-BE49-F238E27FC236}">
                  <a16:creationId xmlns:a16="http://schemas.microsoft.com/office/drawing/2014/main" id="{AA3A58E9-5101-46CB-B53D-704E68B48819}"/>
                </a:ext>
              </a:extLst>
            </xdr:cNvPr>
            <xdr:cNvGrpSpPr>
              <a:grpSpLocks/>
            </xdr:cNvGrpSpPr>
          </xdr:nvGrpSpPr>
          <xdr:grpSpPr bwMode="auto">
            <a:xfrm>
              <a:off x="6953250" y="29260800"/>
              <a:ext cx="790576" cy="285750"/>
              <a:chOff x="7439024" y="28575000"/>
              <a:chExt cx="790576" cy="285750"/>
            </a:xfrm>
          </xdr:grpSpPr>
          <xdr:sp macro="" textlink="">
            <xdr:nvSpPr>
              <xdr:cNvPr id="4648728" name="Rectangle 206">
                <a:extLst>
                  <a:ext uri="{FF2B5EF4-FFF2-40B4-BE49-F238E27FC236}">
                    <a16:creationId xmlns:a16="http://schemas.microsoft.com/office/drawing/2014/main" id="{F74F52D7-9888-4089-9425-52ADB8F5DE53}"/>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29" name="Rectangle 207">
                <a:extLst>
                  <a:ext uri="{FF2B5EF4-FFF2-40B4-BE49-F238E27FC236}">
                    <a16:creationId xmlns:a16="http://schemas.microsoft.com/office/drawing/2014/main" id="{7C300536-FEF9-499A-B71C-D4532AABDDFA}"/>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sp macro="" textlink="">
        <xdr:nvSpPr>
          <xdr:cNvPr id="4648724" name="Rectangle 202">
            <a:extLst>
              <a:ext uri="{FF2B5EF4-FFF2-40B4-BE49-F238E27FC236}">
                <a16:creationId xmlns:a16="http://schemas.microsoft.com/office/drawing/2014/main" id="{396A4D71-3F39-4015-9F4B-FB7DF34E5B51}"/>
              </a:ext>
            </a:extLst>
          </xdr:cNvPr>
          <xdr:cNvSpPr>
            <a:spLocks noChangeArrowheads="1"/>
          </xdr:cNvSpPr>
        </xdr:nvSpPr>
        <xdr:spPr bwMode="auto">
          <a:xfrm>
            <a:off x="7048500" y="9563101"/>
            <a:ext cx="371475" cy="285750"/>
          </a:xfrm>
          <a:prstGeom prst="rect">
            <a:avLst/>
          </a:prstGeom>
          <a:solidFill>
            <a:srgbClr val="FFFFFF"/>
          </a:solidFill>
          <a:ln w="9525" algn="ctr">
            <a:solidFill>
              <a:srgbClr val="000000"/>
            </a:solidFill>
            <a:round/>
            <a:headEnd/>
            <a:tailEnd/>
          </a:ln>
        </xdr:spPr>
      </xdr:sp>
    </xdr:grpSp>
    <xdr:clientData/>
  </xdr:twoCellAnchor>
  <xdr:twoCellAnchor>
    <xdr:from>
      <xdr:col>18</xdr:col>
      <xdr:colOff>66675</xdr:colOff>
      <xdr:row>8</xdr:row>
      <xdr:rowOff>142875</xdr:rowOff>
    </xdr:from>
    <xdr:to>
      <xdr:col>26</xdr:col>
      <xdr:colOff>276225</xdr:colOff>
      <xdr:row>10</xdr:row>
      <xdr:rowOff>152400</xdr:rowOff>
    </xdr:to>
    <xdr:grpSp>
      <xdr:nvGrpSpPr>
        <xdr:cNvPr id="4648559" name="Groupe 217">
          <a:extLst>
            <a:ext uri="{FF2B5EF4-FFF2-40B4-BE49-F238E27FC236}">
              <a16:creationId xmlns:a16="http://schemas.microsoft.com/office/drawing/2014/main" id="{01214EB1-72E1-43B5-8E01-F0B5472662C8}"/>
            </a:ext>
          </a:extLst>
        </xdr:cNvPr>
        <xdr:cNvGrpSpPr>
          <a:grpSpLocks/>
        </xdr:cNvGrpSpPr>
      </xdr:nvGrpSpPr>
      <xdr:grpSpPr bwMode="auto">
        <a:xfrm>
          <a:off x="6489944" y="1515452"/>
          <a:ext cx="2935166" cy="346563"/>
          <a:chOff x="7000875" y="9553575"/>
          <a:chExt cx="2895601" cy="285751"/>
        </a:xfrm>
      </xdr:grpSpPr>
      <xdr:grpSp>
        <xdr:nvGrpSpPr>
          <xdr:cNvPr id="4648712" name="Groupe 188">
            <a:extLst>
              <a:ext uri="{FF2B5EF4-FFF2-40B4-BE49-F238E27FC236}">
                <a16:creationId xmlns:a16="http://schemas.microsoft.com/office/drawing/2014/main" id="{8DD98BCA-D5E0-4081-A228-5FDC20730499}"/>
              </a:ext>
            </a:extLst>
          </xdr:cNvPr>
          <xdr:cNvGrpSpPr>
            <a:grpSpLocks/>
          </xdr:cNvGrpSpPr>
        </xdr:nvGrpSpPr>
        <xdr:grpSpPr bwMode="auto">
          <a:xfrm>
            <a:off x="7448550" y="9553575"/>
            <a:ext cx="2447926" cy="285750"/>
            <a:chOff x="5295900" y="29260800"/>
            <a:chExt cx="2447926" cy="285750"/>
          </a:xfrm>
        </xdr:grpSpPr>
        <xdr:grpSp>
          <xdr:nvGrpSpPr>
            <xdr:cNvPr id="4648714" name="Groupe 24">
              <a:extLst>
                <a:ext uri="{FF2B5EF4-FFF2-40B4-BE49-F238E27FC236}">
                  <a16:creationId xmlns:a16="http://schemas.microsoft.com/office/drawing/2014/main" id="{1B51A2F6-9164-4ACC-9DA0-470C1C6A6A9A}"/>
                </a:ext>
              </a:extLst>
            </xdr:cNvPr>
            <xdr:cNvGrpSpPr>
              <a:grpSpLocks/>
            </xdr:cNvGrpSpPr>
          </xdr:nvGrpSpPr>
          <xdr:grpSpPr bwMode="auto">
            <a:xfrm>
              <a:off x="6124574" y="29260800"/>
              <a:ext cx="790576" cy="285750"/>
              <a:chOff x="7439024" y="28575000"/>
              <a:chExt cx="790576" cy="285750"/>
            </a:xfrm>
          </xdr:grpSpPr>
          <xdr:sp macro="" textlink="">
            <xdr:nvSpPr>
              <xdr:cNvPr id="4648721" name="Rectangle 227">
                <a:extLst>
                  <a:ext uri="{FF2B5EF4-FFF2-40B4-BE49-F238E27FC236}">
                    <a16:creationId xmlns:a16="http://schemas.microsoft.com/office/drawing/2014/main" id="{FC3033F9-50F4-4E3B-BDF2-CB889AE7FD11}"/>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22" name="Rectangle 228">
                <a:extLst>
                  <a:ext uri="{FF2B5EF4-FFF2-40B4-BE49-F238E27FC236}">
                    <a16:creationId xmlns:a16="http://schemas.microsoft.com/office/drawing/2014/main" id="{75467DB3-62F5-4799-B0BF-0DBDC851C9F8}"/>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715" name="Groupe 25">
              <a:extLst>
                <a:ext uri="{FF2B5EF4-FFF2-40B4-BE49-F238E27FC236}">
                  <a16:creationId xmlns:a16="http://schemas.microsoft.com/office/drawing/2014/main" id="{25C524B0-7AA4-4B5F-9DE5-412DDC930F93}"/>
                </a:ext>
              </a:extLst>
            </xdr:cNvPr>
            <xdr:cNvGrpSpPr>
              <a:grpSpLocks/>
            </xdr:cNvGrpSpPr>
          </xdr:nvGrpSpPr>
          <xdr:grpSpPr bwMode="auto">
            <a:xfrm>
              <a:off x="5295900" y="29260800"/>
              <a:ext cx="790576" cy="285750"/>
              <a:chOff x="7439024" y="28575000"/>
              <a:chExt cx="790576" cy="285750"/>
            </a:xfrm>
          </xdr:grpSpPr>
          <xdr:sp macro="" textlink="">
            <xdr:nvSpPr>
              <xdr:cNvPr id="4648719" name="Rectangle 225">
                <a:extLst>
                  <a:ext uri="{FF2B5EF4-FFF2-40B4-BE49-F238E27FC236}">
                    <a16:creationId xmlns:a16="http://schemas.microsoft.com/office/drawing/2014/main" id="{6CA617C5-39A0-4D96-9F8E-9CF34A1F6619}"/>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20" name="Rectangle 226">
                <a:extLst>
                  <a:ext uri="{FF2B5EF4-FFF2-40B4-BE49-F238E27FC236}">
                    <a16:creationId xmlns:a16="http://schemas.microsoft.com/office/drawing/2014/main" id="{B3B7399A-FF52-46DD-928D-C6E62489E5A9}"/>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716" name="Groupe 28">
              <a:extLst>
                <a:ext uri="{FF2B5EF4-FFF2-40B4-BE49-F238E27FC236}">
                  <a16:creationId xmlns:a16="http://schemas.microsoft.com/office/drawing/2014/main" id="{99E635E3-F114-40B6-B619-B6A1CBB3275E}"/>
                </a:ext>
              </a:extLst>
            </xdr:cNvPr>
            <xdr:cNvGrpSpPr>
              <a:grpSpLocks/>
            </xdr:cNvGrpSpPr>
          </xdr:nvGrpSpPr>
          <xdr:grpSpPr bwMode="auto">
            <a:xfrm>
              <a:off x="6953250" y="29260800"/>
              <a:ext cx="790576" cy="285750"/>
              <a:chOff x="7439024" y="28575000"/>
              <a:chExt cx="790576" cy="285750"/>
            </a:xfrm>
          </xdr:grpSpPr>
          <xdr:sp macro="" textlink="">
            <xdr:nvSpPr>
              <xdr:cNvPr id="4648717" name="Rectangle 223">
                <a:extLst>
                  <a:ext uri="{FF2B5EF4-FFF2-40B4-BE49-F238E27FC236}">
                    <a16:creationId xmlns:a16="http://schemas.microsoft.com/office/drawing/2014/main" id="{998DC318-ABBE-4E96-AA62-7700040C6D28}"/>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18" name="Rectangle 224">
                <a:extLst>
                  <a:ext uri="{FF2B5EF4-FFF2-40B4-BE49-F238E27FC236}">
                    <a16:creationId xmlns:a16="http://schemas.microsoft.com/office/drawing/2014/main" id="{354E24DB-0605-434D-A019-FE04A48D68FE}"/>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sp macro="" textlink="">
        <xdr:nvSpPr>
          <xdr:cNvPr id="4648713" name="Rectangle 219">
            <a:extLst>
              <a:ext uri="{FF2B5EF4-FFF2-40B4-BE49-F238E27FC236}">
                <a16:creationId xmlns:a16="http://schemas.microsoft.com/office/drawing/2014/main" id="{A3BCB579-3689-416F-8726-2C37D96408DA}"/>
              </a:ext>
            </a:extLst>
          </xdr:cNvPr>
          <xdr:cNvSpPr>
            <a:spLocks noChangeArrowheads="1"/>
          </xdr:cNvSpPr>
        </xdr:nvSpPr>
        <xdr:spPr bwMode="auto">
          <a:xfrm>
            <a:off x="7000875" y="9553576"/>
            <a:ext cx="371475" cy="285750"/>
          </a:xfrm>
          <a:prstGeom prst="rect">
            <a:avLst/>
          </a:prstGeom>
          <a:solidFill>
            <a:srgbClr val="FFFFFF"/>
          </a:solidFill>
          <a:ln w="9525" algn="ctr">
            <a:solidFill>
              <a:srgbClr val="000000"/>
            </a:solidFill>
            <a:round/>
            <a:headEnd/>
            <a:tailEnd/>
          </a:ln>
        </xdr:spPr>
      </xdr:sp>
    </xdr:grpSp>
    <xdr:clientData/>
  </xdr:twoCellAnchor>
  <xdr:twoCellAnchor>
    <xdr:from>
      <xdr:col>24</xdr:col>
      <xdr:colOff>257175</xdr:colOff>
      <xdr:row>18</xdr:row>
      <xdr:rowOff>38100</xdr:rowOff>
    </xdr:from>
    <xdr:to>
      <xdr:col>26</xdr:col>
      <xdr:colOff>123825</xdr:colOff>
      <xdr:row>19</xdr:row>
      <xdr:rowOff>123825</xdr:rowOff>
    </xdr:to>
    <xdr:sp macro="" textlink="">
      <xdr:nvSpPr>
        <xdr:cNvPr id="4648560" name="Rectangle 216">
          <a:extLst>
            <a:ext uri="{FF2B5EF4-FFF2-40B4-BE49-F238E27FC236}">
              <a16:creationId xmlns:a16="http://schemas.microsoft.com/office/drawing/2014/main" id="{AA9B495D-19A0-4D94-AA8D-8759683C6D36}"/>
            </a:ext>
          </a:extLst>
        </xdr:cNvPr>
        <xdr:cNvSpPr>
          <a:spLocks noChangeArrowheads="1"/>
        </xdr:cNvSpPr>
      </xdr:nvSpPr>
      <xdr:spPr bwMode="auto">
        <a:xfrm>
          <a:off x="8248650" y="3076575"/>
          <a:ext cx="514350" cy="257175"/>
        </a:xfrm>
        <a:prstGeom prst="rect">
          <a:avLst/>
        </a:prstGeom>
        <a:solidFill>
          <a:srgbClr val="FFFFFF"/>
        </a:solidFill>
        <a:ln w="9525" algn="ctr">
          <a:solidFill>
            <a:srgbClr val="000000"/>
          </a:solidFill>
          <a:round/>
          <a:headEnd/>
          <a:tailEnd/>
        </a:ln>
      </xdr:spPr>
    </xdr:sp>
    <xdr:clientData/>
  </xdr:twoCellAnchor>
  <xdr:twoCellAnchor>
    <xdr:from>
      <xdr:col>23</xdr:col>
      <xdr:colOff>371475</xdr:colOff>
      <xdr:row>27</xdr:row>
      <xdr:rowOff>85725</xdr:rowOff>
    </xdr:from>
    <xdr:to>
      <xdr:col>25</xdr:col>
      <xdr:colOff>57150</xdr:colOff>
      <xdr:row>29</xdr:row>
      <xdr:rowOff>133350</xdr:rowOff>
    </xdr:to>
    <xdr:sp macro="" textlink="">
      <xdr:nvSpPr>
        <xdr:cNvPr id="4648561" name="Rectangle 215">
          <a:extLst>
            <a:ext uri="{FF2B5EF4-FFF2-40B4-BE49-F238E27FC236}">
              <a16:creationId xmlns:a16="http://schemas.microsoft.com/office/drawing/2014/main" id="{467999C9-4D2F-4024-A402-483E447F2C4E}"/>
            </a:ext>
          </a:extLst>
        </xdr:cNvPr>
        <xdr:cNvSpPr>
          <a:spLocks noChangeArrowheads="1"/>
        </xdr:cNvSpPr>
      </xdr:nvSpPr>
      <xdr:spPr bwMode="auto">
        <a:xfrm>
          <a:off x="7962900" y="4667250"/>
          <a:ext cx="409575" cy="390525"/>
        </a:xfrm>
        <a:prstGeom prst="rect">
          <a:avLst/>
        </a:prstGeom>
        <a:solidFill>
          <a:srgbClr val="FFFFFF"/>
        </a:solidFill>
        <a:ln w="9525" algn="ctr">
          <a:solidFill>
            <a:srgbClr val="000000"/>
          </a:solidFill>
          <a:round/>
          <a:headEnd/>
          <a:tailEnd/>
        </a:ln>
      </xdr:spPr>
    </xdr:sp>
    <xdr:clientData/>
  </xdr:twoCellAnchor>
  <xdr:twoCellAnchor>
    <xdr:from>
      <xdr:col>0</xdr:col>
      <xdr:colOff>257175</xdr:colOff>
      <xdr:row>47</xdr:row>
      <xdr:rowOff>76200</xdr:rowOff>
    </xdr:from>
    <xdr:to>
      <xdr:col>8</xdr:col>
      <xdr:colOff>142875</xdr:colOff>
      <xdr:row>49</xdr:row>
      <xdr:rowOff>114300</xdr:rowOff>
    </xdr:to>
    <xdr:grpSp>
      <xdr:nvGrpSpPr>
        <xdr:cNvPr id="4648562" name="Groupe 178">
          <a:extLst>
            <a:ext uri="{FF2B5EF4-FFF2-40B4-BE49-F238E27FC236}">
              <a16:creationId xmlns:a16="http://schemas.microsoft.com/office/drawing/2014/main" id="{688FD788-87C0-47E8-8842-42524DF6F70F}"/>
            </a:ext>
          </a:extLst>
        </xdr:cNvPr>
        <xdr:cNvGrpSpPr>
          <a:grpSpLocks/>
        </xdr:cNvGrpSpPr>
      </xdr:nvGrpSpPr>
      <xdr:grpSpPr bwMode="auto">
        <a:xfrm>
          <a:off x="257175" y="8086969"/>
          <a:ext cx="2547815" cy="375139"/>
          <a:chOff x="5295900" y="29260800"/>
          <a:chExt cx="2447926" cy="285750"/>
        </a:xfrm>
      </xdr:grpSpPr>
      <xdr:grpSp>
        <xdr:nvGrpSpPr>
          <xdr:cNvPr id="4648703" name="Groupe 24">
            <a:extLst>
              <a:ext uri="{FF2B5EF4-FFF2-40B4-BE49-F238E27FC236}">
                <a16:creationId xmlns:a16="http://schemas.microsoft.com/office/drawing/2014/main" id="{30F9916A-6ACB-4366-B0A4-8C6944DC4EFC}"/>
              </a:ext>
            </a:extLst>
          </xdr:cNvPr>
          <xdr:cNvGrpSpPr>
            <a:grpSpLocks/>
          </xdr:cNvGrpSpPr>
        </xdr:nvGrpSpPr>
        <xdr:grpSpPr bwMode="auto">
          <a:xfrm>
            <a:off x="6124574" y="29260800"/>
            <a:ext cx="790576" cy="285750"/>
            <a:chOff x="7439024" y="28575000"/>
            <a:chExt cx="790576" cy="285750"/>
          </a:xfrm>
        </xdr:grpSpPr>
        <xdr:sp macro="" textlink="">
          <xdr:nvSpPr>
            <xdr:cNvPr id="4648710" name="Rectangle 186">
              <a:extLst>
                <a:ext uri="{FF2B5EF4-FFF2-40B4-BE49-F238E27FC236}">
                  <a16:creationId xmlns:a16="http://schemas.microsoft.com/office/drawing/2014/main" id="{74AB7662-9AA3-479B-A17F-120DABB3852C}"/>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11" name="Rectangle 187">
              <a:extLst>
                <a:ext uri="{FF2B5EF4-FFF2-40B4-BE49-F238E27FC236}">
                  <a16:creationId xmlns:a16="http://schemas.microsoft.com/office/drawing/2014/main" id="{5608A5DF-D8B0-4DDB-8D5A-B80F1DCDAA34}"/>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704" name="Groupe 25">
            <a:extLst>
              <a:ext uri="{FF2B5EF4-FFF2-40B4-BE49-F238E27FC236}">
                <a16:creationId xmlns:a16="http://schemas.microsoft.com/office/drawing/2014/main" id="{7FA859E8-6D90-4679-8412-FB9DD9068C52}"/>
              </a:ext>
            </a:extLst>
          </xdr:cNvPr>
          <xdr:cNvGrpSpPr>
            <a:grpSpLocks/>
          </xdr:cNvGrpSpPr>
        </xdr:nvGrpSpPr>
        <xdr:grpSpPr bwMode="auto">
          <a:xfrm>
            <a:off x="5295900" y="29260800"/>
            <a:ext cx="790576" cy="285750"/>
            <a:chOff x="7439024" y="28575000"/>
            <a:chExt cx="790576" cy="285750"/>
          </a:xfrm>
        </xdr:grpSpPr>
        <xdr:sp macro="" textlink="">
          <xdr:nvSpPr>
            <xdr:cNvPr id="4648708" name="Rectangle 184">
              <a:extLst>
                <a:ext uri="{FF2B5EF4-FFF2-40B4-BE49-F238E27FC236}">
                  <a16:creationId xmlns:a16="http://schemas.microsoft.com/office/drawing/2014/main" id="{54C5B3F4-3B60-486A-8133-918E9358A165}"/>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09" name="Rectangle 185">
              <a:extLst>
                <a:ext uri="{FF2B5EF4-FFF2-40B4-BE49-F238E27FC236}">
                  <a16:creationId xmlns:a16="http://schemas.microsoft.com/office/drawing/2014/main" id="{EA4787B2-DACF-43DD-BFAC-180BD22EC588}"/>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705" name="Groupe 28">
            <a:extLst>
              <a:ext uri="{FF2B5EF4-FFF2-40B4-BE49-F238E27FC236}">
                <a16:creationId xmlns:a16="http://schemas.microsoft.com/office/drawing/2014/main" id="{45D064F7-BBB2-4C57-A428-C6C9F60B94C2}"/>
              </a:ext>
            </a:extLst>
          </xdr:cNvPr>
          <xdr:cNvGrpSpPr>
            <a:grpSpLocks/>
          </xdr:cNvGrpSpPr>
        </xdr:nvGrpSpPr>
        <xdr:grpSpPr bwMode="auto">
          <a:xfrm>
            <a:off x="6953250" y="29260800"/>
            <a:ext cx="790576" cy="285750"/>
            <a:chOff x="7439024" y="28575000"/>
            <a:chExt cx="790576" cy="285750"/>
          </a:xfrm>
        </xdr:grpSpPr>
        <xdr:sp macro="" textlink="">
          <xdr:nvSpPr>
            <xdr:cNvPr id="4648706" name="Rectangle 182">
              <a:extLst>
                <a:ext uri="{FF2B5EF4-FFF2-40B4-BE49-F238E27FC236}">
                  <a16:creationId xmlns:a16="http://schemas.microsoft.com/office/drawing/2014/main" id="{F74C6DB1-137A-4549-B6E6-A6E6F10C258F}"/>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707" name="Rectangle 183">
              <a:extLst>
                <a:ext uri="{FF2B5EF4-FFF2-40B4-BE49-F238E27FC236}">
                  <a16:creationId xmlns:a16="http://schemas.microsoft.com/office/drawing/2014/main" id="{DBA22469-EA68-4A79-AE33-929684522C97}"/>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5</xdr:col>
      <xdr:colOff>114300</xdr:colOff>
      <xdr:row>57</xdr:row>
      <xdr:rowOff>123825</xdr:rowOff>
    </xdr:from>
    <xdr:to>
      <xdr:col>6</xdr:col>
      <xdr:colOff>114300</xdr:colOff>
      <xdr:row>59</xdr:row>
      <xdr:rowOff>114300</xdr:rowOff>
    </xdr:to>
    <xdr:sp macro="" textlink="">
      <xdr:nvSpPr>
        <xdr:cNvPr id="4648563" name="Rectangle 160">
          <a:extLst>
            <a:ext uri="{FF2B5EF4-FFF2-40B4-BE49-F238E27FC236}">
              <a16:creationId xmlns:a16="http://schemas.microsoft.com/office/drawing/2014/main" id="{72AB5885-FD88-4846-936B-97172DA21816}"/>
            </a:ext>
          </a:extLst>
        </xdr:cNvPr>
        <xdr:cNvSpPr>
          <a:spLocks noChangeArrowheads="1"/>
        </xdr:cNvSpPr>
      </xdr:nvSpPr>
      <xdr:spPr bwMode="auto">
        <a:xfrm>
          <a:off x="1562100" y="9829800"/>
          <a:ext cx="342900" cy="333375"/>
        </a:xfrm>
        <a:prstGeom prst="rect">
          <a:avLst/>
        </a:prstGeom>
        <a:solidFill>
          <a:srgbClr val="FFFFFF"/>
        </a:solidFill>
        <a:ln w="9525" algn="ctr">
          <a:solidFill>
            <a:srgbClr val="000000"/>
          </a:solidFill>
          <a:round/>
          <a:headEnd/>
          <a:tailEnd/>
        </a:ln>
      </xdr:spPr>
    </xdr:sp>
    <xdr:clientData/>
  </xdr:twoCellAnchor>
  <xdr:twoCellAnchor>
    <xdr:from>
      <xdr:col>15</xdr:col>
      <xdr:colOff>38100</xdr:colOff>
      <xdr:row>61</xdr:row>
      <xdr:rowOff>19050</xdr:rowOff>
    </xdr:from>
    <xdr:to>
      <xdr:col>17</xdr:col>
      <xdr:colOff>352425</xdr:colOff>
      <xdr:row>62</xdr:row>
      <xdr:rowOff>114300</xdr:rowOff>
    </xdr:to>
    <xdr:grpSp>
      <xdr:nvGrpSpPr>
        <xdr:cNvPr id="4648564" name="Groupe 14">
          <a:extLst>
            <a:ext uri="{FF2B5EF4-FFF2-40B4-BE49-F238E27FC236}">
              <a16:creationId xmlns:a16="http://schemas.microsoft.com/office/drawing/2014/main" id="{7619CC03-6D6E-4A62-9464-26A5EE91C7FE}"/>
            </a:ext>
          </a:extLst>
        </xdr:cNvPr>
        <xdr:cNvGrpSpPr>
          <a:grpSpLocks/>
        </xdr:cNvGrpSpPr>
      </xdr:nvGrpSpPr>
      <xdr:grpSpPr bwMode="auto">
        <a:xfrm>
          <a:off x="5210908" y="10403742"/>
          <a:ext cx="1115402" cy="266212"/>
          <a:chOff x="7867651" y="18945225"/>
          <a:chExt cx="1104898" cy="257176"/>
        </a:xfrm>
      </xdr:grpSpPr>
      <xdr:grpSp>
        <xdr:nvGrpSpPr>
          <xdr:cNvPr id="4648696" name="Groupe 5">
            <a:extLst>
              <a:ext uri="{FF2B5EF4-FFF2-40B4-BE49-F238E27FC236}">
                <a16:creationId xmlns:a16="http://schemas.microsoft.com/office/drawing/2014/main" id="{682BD29C-9234-4941-AEA9-8B2E568FE646}"/>
              </a:ext>
            </a:extLst>
          </xdr:cNvPr>
          <xdr:cNvGrpSpPr>
            <a:grpSpLocks/>
          </xdr:cNvGrpSpPr>
        </xdr:nvGrpSpPr>
        <xdr:grpSpPr bwMode="auto">
          <a:xfrm>
            <a:off x="7867651" y="18945225"/>
            <a:ext cx="476249" cy="247651"/>
            <a:chOff x="7867651" y="18945225"/>
            <a:chExt cx="476249" cy="247651"/>
          </a:xfrm>
        </xdr:grpSpPr>
        <xdr:sp macro="" textlink="">
          <xdr:nvSpPr>
            <xdr:cNvPr id="4648701" name="Rectangle 1">
              <a:extLst>
                <a:ext uri="{FF2B5EF4-FFF2-40B4-BE49-F238E27FC236}">
                  <a16:creationId xmlns:a16="http://schemas.microsoft.com/office/drawing/2014/main" id="{AE872071-1C94-44E9-B332-B8F6D1D95E22}"/>
                </a:ext>
              </a:extLst>
            </xdr:cNvPr>
            <xdr:cNvSpPr>
              <a:spLocks noChangeArrowheads="1"/>
            </xdr:cNvSpPr>
          </xdr:nvSpPr>
          <xdr:spPr bwMode="auto">
            <a:xfrm>
              <a:off x="7867651" y="18945226"/>
              <a:ext cx="228600" cy="247650"/>
            </a:xfrm>
            <a:prstGeom prst="rect">
              <a:avLst/>
            </a:prstGeom>
            <a:solidFill>
              <a:srgbClr val="FFFFFF"/>
            </a:solidFill>
            <a:ln w="9525">
              <a:solidFill>
                <a:srgbClr val="000000"/>
              </a:solidFill>
              <a:miter lim="800000"/>
              <a:headEnd/>
              <a:tailEnd/>
            </a:ln>
          </xdr:spPr>
        </xdr:sp>
        <xdr:sp macro="" textlink="">
          <xdr:nvSpPr>
            <xdr:cNvPr id="4648702" name="Rectangle 2">
              <a:extLst>
                <a:ext uri="{FF2B5EF4-FFF2-40B4-BE49-F238E27FC236}">
                  <a16:creationId xmlns:a16="http://schemas.microsoft.com/office/drawing/2014/main" id="{73117559-7620-402C-BD57-8937B9907E84}"/>
                </a:ext>
              </a:extLst>
            </xdr:cNvPr>
            <xdr:cNvSpPr>
              <a:spLocks noChangeArrowheads="1"/>
            </xdr:cNvSpPr>
          </xdr:nvSpPr>
          <xdr:spPr bwMode="auto">
            <a:xfrm>
              <a:off x="8115300" y="18945225"/>
              <a:ext cx="228600" cy="247650"/>
            </a:xfrm>
            <a:prstGeom prst="rect">
              <a:avLst/>
            </a:prstGeom>
            <a:solidFill>
              <a:srgbClr val="FFFFFF"/>
            </a:solidFill>
            <a:ln w="9525">
              <a:solidFill>
                <a:srgbClr val="000000"/>
              </a:solidFill>
              <a:miter lim="800000"/>
              <a:headEnd/>
              <a:tailEnd/>
            </a:ln>
          </xdr:spPr>
        </xdr:sp>
      </xdr:grpSp>
      <xdr:cxnSp macro="">
        <xdr:nvCxnSpPr>
          <xdr:cNvPr id="4648697" name="Connecteur droit 7">
            <a:extLst>
              <a:ext uri="{FF2B5EF4-FFF2-40B4-BE49-F238E27FC236}">
                <a16:creationId xmlns:a16="http://schemas.microsoft.com/office/drawing/2014/main" id="{A55FFD7B-3D9D-49F3-863D-1FFDDA759FC7}"/>
              </a:ext>
            </a:extLst>
          </xdr:cNvPr>
          <xdr:cNvCxnSpPr>
            <a:cxnSpLocks noChangeShapeType="1"/>
          </xdr:cNvCxnSpPr>
        </xdr:nvCxnSpPr>
        <xdr:spPr bwMode="auto">
          <a:xfrm rot="5400000" flipH="1" flipV="1">
            <a:off x="8296275" y="19050003"/>
            <a:ext cx="238128" cy="47622"/>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nvGrpSpPr>
          <xdr:cNvPr id="4648698" name="Groupe 11">
            <a:extLst>
              <a:ext uri="{FF2B5EF4-FFF2-40B4-BE49-F238E27FC236}">
                <a16:creationId xmlns:a16="http://schemas.microsoft.com/office/drawing/2014/main" id="{6C96B2CC-5D3E-4DCD-835D-C40D1D222D1A}"/>
              </a:ext>
            </a:extLst>
          </xdr:cNvPr>
          <xdr:cNvGrpSpPr>
            <a:grpSpLocks/>
          </xdr:cNvGrpSpPr>
        </xdr:nvGrpSpPr>
        <xdr:grpSpPr bwMode="auto">
          <a:xfrm>
            <a:off x="8496300" y="18954750"/>
            <a:ext cx="476249" cy="247651"/>
            <a:chOff x="7867651" y="18945225"/>
            <a:chExt cx="476249" cy="247651"/>
          </a:xfrm>
        </xdr:grpSpPr>
        <xdr:sp macro="" textlink="">
          <xdr:nvSpPr>
            <xdr:cNvPr id="4648699" name="Rectangle 12">
              <a:extLst>
                <a:ext uri="{FF2B5EF4-FFF2-40B4-BE49-F238E27FC236}">
                  <a16:creationId xmlns:a16="http://schemas.microsoft.com/office/drawing/2014/main" id="{40F941C2-A645-44BF-8774-07293B214636}"/>
                </a:ext>
              </a:extLst>
            </xdr:cNvPr>
            <xdr:cNvSpPr>
              <a:spLocks noChangeArrowheads="1"/>
            </xdr:cNvSpPr>
          </xdr:nvSpPr>
          <xdr:spPr bwMode="auto">
            <a:xfrm>
              <a:off x="7867651" y="18945226"/>
              <a:ext cx="228600" cy="247650"/>
            </a:xfrm>
            <a:prstGeom prst="rect">
              <a:avLst/>
            </a:prstGeom>
            <a:solidFill>
              <a:srgbClr val="FFFFFF"/>
            </a:solidFill>
            <a:ln w="9525">
              <a:solidFill>
                <a:srgbClr val="000000"/>
              </a:solidFill>
              <a:miter lim="800000"/>
              <a:headEnd/>
              <a:tailEnd/>
            </a:ln>
          </xdr:spPr>
        </xdr:sp>
        <xdr:sp macro="" textlink="">
          <xdr:nvSpPr>
            <xdr:cNvPr id="4648700" name="Rectangle 13">
              <a:extLst>
                <a:ext uri="{FF2B5EF4-FFF2-40B4-BE49-F238E27FC236}">
                  <a16:creationId xmlns:a16="http://schemas.microsoft.com/office/drawing/2014/main" id="{839E1870-0CC5-43AA-8E8E-A9E99A0CDE2A}"/>
                </a:ext>
              </a:extLst>
            </xdr:cNvPr>
            <xdr:cNvSpPr>
              <a:spLocks noChangeArrowheads="1"/>
            </xdr:cNvSpPr>
          </xdr:nvSpPr>
          <xdr:spPr bwMode="auto">
            <a:xfrm>
              <a:off x="8115300" y="18945225"/>
              <a:ext cx="228600" cy="247650"/>
            </a:xfrm>
            <a:prstGeom prst="rect">
              <a:avLst/>
            </a:prstGeom>
            <a:solidFill>
              <a:srgbClr val="FFFFFF"/>
            </a:solidFill>
            <a:ln w="9525">
              <a:solidFill>
                <a:srgbClr val="000000"/>
              </a:solidFill>
              <a:miter lim="800000"/>
              <a:headEnd/>
              <a:tailEnd/>
            </a:ln>
          </xdr:spPr>
        </xdr:sp>
      </xdr:grpSp>
    </xdr:grpSp>
    <xdr:clientData/>
  </xdr:twoCellAnchor>
  <xdr:twoCellAnchor>
    <xdr:from>
      <xdr:col>13</xdr:col>
      <xdr:colOff>314325</xdr:colOff>
      <xdr:row>52</xdr:row>
      <xdr:rowOff>0</xdr:rowOff>
    </xdr:from>
    <xdr:to>
      <xdr:col>17</xdr:col>
      <xdr:colOff>400050</xdr:colOff>
      <xdr:row>53</xdr:row>
      <xdr:rowOff>123825</xdr:rowOff>
    </xdr:to>
    <xdr:grpSp>
      <xdr:nvGrpSpPr>
        <xdr:cNvPr id="4648565" name="Groupe 134">
          <a:extLst>
            <a:ext uri="{FF2B5EF4-FFF2-40B4-BE49-F238E27FC236}">
              <a16:creationId xmlns:a16="http://schemas.microsoft.com/office/drawing/2014/main" id="{82BA6EF4-0B33-4A43-9D0D-ACDB0BC1AD58}"/>
            </a:ext>
          </a:extLst>
        </xdr:cNvPr>
        <xdr:cNvGrpSpPr>
          <a:grpSpLocks/>
        </xdr:cNvGrpSpPr>
      </xdr:nvGrpSpPr>
      <xdr:grpSpPr bwMode="auto">
        <a:xfrm>
          <a:off x="4686056" y="8860692"/>
          <a:ext cx="1687879" cy="294787"/>
          <a:chOff x="7724775" y="26555700"/>
          <a:chExt cx="1590675" cy="371475"/>
        </a:xfrm>
      </xdr:grpSpPr>
      <xdr:grpSp>
        <xdr:nvGrpSpPr>
          <xdr:cNvPr id="4648690" name="Groupe 120">
            <a:extLst>
              <a:ext uri="{FF2B5EF4-FFF2-40B4-BE49-F238E27FC236}">
                <a16:creationId xmlns:a16="http://schemas.microsoft.com/office/drawing/2014/main" id="{C5C25A59-D481-4D92-9A49-81FD680D7817}"/>
              </a:ext>
            </a:extLst>
          </xdr:cNvPr>
          <xdr:cNvGrpSpPr>
            <a:grpSpLocks/>
          </xdr:cNvGrpSpPr>
        </xdr:nvGrpSpPr>
        <xdr:grpSpPr bwMode="auto">
          <a:xfrm>
            <a:off x="8534400" y="26555700"/>
            <a:ext cx="781050" cy="371475"/>
            <a:chOff x="4429125" y="27365325"/>
            <a:chExt cx="781050" cy="371475"/>
          </a:xfrm>
        </xdr:grpSpPr>
        <xdr:sp macro="" textlink="">
          <xdr:nvSpPr>
            <xdr:cNvPr id="4648694" name="Rectangle 139">
              <a:extLst>
                <a:ext uri="{FF2B5EF4-FFF2-40B4-BE49-F238E27FC236}">
                  <a16:creationId xmlns:a16="http://schemas.microsoft.com/office/drawing/2014/main" id="{1D3D0AA2-D7E2-4D17-A0D2-F67CA284F68D}"/>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4648695" name="Rectangle 140">
              <a:extLst>
                <a:ext uri="{FF2B5EF4-FFF2-40B4-BE49-F238E27FC236}">
                  <a16:creationId xmlns:a16="http://schemas.microsoft.com/office/drawing/2014/main" id="{0F4AFC22-0B43-4847-A69D-ABCE4F7B18A5}"/>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grpSp>
        <xdr:nvGrpSpPr>
          <xdr:cNvPr id="4648691" name="Groupe 123">
            <a:extLst>
              <a:ext uri="{FF2B5EF4-FFF2-40B4-BE49-F238E27FC236}">
                <a16:creationId xmlns:a16="http://schemas.microsoft.com/office/drawing/2014/main" id="{F59AE43B-AFDE-42C1-84D7-8BB8B26D3AC1}"/>
              </a:ext>
            </a:extLst>
          </xdr:cNvPr>
          <xdr:cNvGrpSpPr>
            <a:grpSpLocks/>
          </xdr:cNvGrpSpPr>
        </xdr:nvGrpSpPr>
        <xdr:grpSpPr bwMode="auto">
          <a:xfrm>
            <a:off x="7724775" y="26555700"/>
            <a:ext cx="781050" cy="371475"/>
            <a:chOff x="4429125" y="27365325"/>
            <a:chExt cx="781050" cy="371475"/>
          </a:xfrm>
        </xdr:grpSpPr>
        <xdr:sp macro="" textlink="">
          <xdr:nvSpPr>
            <xdr:cNvPr id="4648692" name="Rectangle 137">
              <a:extLst>
                <a:ext uri="{FF2B5EF4-FFF2-40B4-BE49-F238E27FC236}">
                  <a16:creationId xmlns:a16="http://schemas.microsoft.com/office/drawing/2014/main" id="{E2B6394B-BC73-4D3D-9B32-93636ECF1F5F}"/>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4648693" name="Rectangle 138">
              <a:extLst>
                <a:ext uri="{FF2B5EF4-FFF2-40B4-BE49-F238E27FC236}">
                  <a16:creationId xmlns:a16="http://schemas.microsoft.com/office/drawing/2014/main" id="{C6D04C42-1773-4357-B6F4-37EF1958E718}"/>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grpSp>
    <xdr:clientData/>
  </xdr:twoCellAnchor>
  <xdr:twoCellAnchor>
    <xdr:from>
      <xdr:col>15</xdr:col>
      <xdr:colOff>104775</xdr:colOff>
      <xdr:row>57</xdr:row>
      <xdr:rowOff>123825</xdr:rowOff>
    </xdr:from>
    <xdr:to>
      <xdr:col>17</xdr:col>
      <xdr:colOff>76200</xdr:colOff>
      <xdr:row>59</xdr:row>
      <xdr:rowOff>76200</xdr:rowOff>
    </xdr:to>
    <xdr:grpSp>
      <xdr:nvGrpSpPr>
        <xdr:cNvPr id="4648566" name="Groupe 141">
          <a:extLst>
            <a:ext uri="{FF2B5EF4-FFF2-40B4-BE49-F238E27FC236}">
              <a16:creationId xmlns:a16="http://schemas.microsoft.com/office/drawing/2014/main" id="{79C5BD21-ECA4-4905-9D5B-E3BE8D7DD65B}"/>
            </a:ext>
          </a:extLst>
        </xdr:cNvPr>
        <xdr:cNvGrpSpPr>
          <a:grpSpLocks/>
        </xdr:cNvGrpSpPr>
      </xdr:nvGrpSpPr>
      <xdr:grpSpPr bwMode="auto">
        <a:xfrm>
          <a:off x="5277583" y="9839325"/>
          <a:ext cx="772502" cy="289413"/>
          <a:chOff x="4429125" y="27365325"/>
          <a:chExt cx="781050" cy="371475"/>
        </a:xfrm>
      </xdr:grpSpPr>
      <xdr:sp macro="" textlink="">
        <xdr:nvSpPr>
          <xdr:cNvPr id="4648688" name="Rectangle 142">
            <a:extLst>
              <a:ext uri="{FF2B5EF4-FFF2-40B4-BE49-F238E27FC236}">
                <a16:creationId xmlns:a16="http://schemas.microsoft.com/office/drawing/2014/main" id="{B8A3EB75-E249-4BAD-821F-16F8ADE83DF3}"/>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4648689" name="Rectangle 143">
            <a:extLst>
              <a:ext uri="{FF2B5EF4-FFF2-40B4-BE49-F238E27FC236}">
                <a16:creationId xmlns:a16="http://schemas.microsoft.com/office/drawing/2014/main" id="{8FD55DE0-453F-48FC-AF9A-8F04508E5617}"/>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14</xdr:col>
      <xdr:colOff>0</xdr:colOff>
      <xdr:row>65</xdr:row>
      <xdr:rowOff>114300</xdr:rowOff>
    </xdr:from>
    <xdr:to>
      <xdr:col>17</xdr:col>
      <xdr:colOff>352425</xdr:colOff>
      <xdr:row>67</xdr:row>
      <xdr:rowOff>123825</xdr:rowOff>
    </xdr:to>
    <xdr:grpSp>
      <xdr:nvGrpSpPr>
        <xdr:cNvPr id="4648567" name="Groupe 127">
          <a:extLst>
            <a:ext uri="{FF2B5EF4-FFF2-40B4-BE49-F238E27FC236}">
              <a16:creationId xmlns:a16="http://schemas.microsoft.com/office/drawing/2014/main" id="{47093401-6BA6-4E74-A315-7EB832B123D2}"/>
            </a:ext>
          </a:extLst>
        </xdr:cNvPr>
        <xdr:cNvGrpSpPr>
          <a:grpSpLocks/>
        </xdr:cNvGrpSpPr>
      </xdr:nvGrpSpPr>
      <xdr:grpSpPr bwMode="auto">
        <a:xfrm>
          <a:off x="4752731" y="11182838"/>
          <a:ext cx="1573579" cy="351449"/>
          <a:chOff x="7724775" y="26555700"/>
          <a:chExt cx="1590675" cy="371475"/>
        </a:xfrm>
      </xdr:grpSpPr>
      <xdr:grpSp>
        <xdr:nvGrpSpPr>
          <xdr:cNvPr id="4648682" name="Groupe 120">
            <a:extLst>
              <a:ext uri="{FF2B5EF4-FFF2-40B4-BE49-F238E27FC236}">
                <a16:creationId xmlns:a16="http://schemas.microsoft.com/office/drawing/2014/main" id="{BAC1E6A0-8B42-43CF-A812-DCF5582EA7B0}"/>
              </a:ext>
            </a:extLst>
          </xdr:cNvPr>
          <xdr:cNvGrpSpPr>
            <a:grpSpLocks/>
          </xdr:cNvGrpSpPr>
        </xdr:nvGrpSpPr>
        <xdr:grpSpPr bwMode="auto">
          <a:xfrm>
            <a:off x="8534400" y="26555700"/>
            <a:ext cx="781050" cy="371475"/>
            <a:chOff x="4429125" y="27365325"/>
            <a:chExt cx="781050" cy="371475"/>
          </a:xfrm>
        </xdr:grpSpPr>
        <xdr:sp macro="" textlink="">
          <xdr:nvSpPr>
            <xdr:cNvPr id="4648686" name="Rectangle 132">
              <a:extLst>
                <a:ext uri="{FF2B5EF4-FFF2-40B4-BE49-F238E27FC236}">
                  <a16:creationId xmlns:a16="http://schemas.microsoft.com/office/drawing/2014/main" id="{D0DC4C23-078B-4451-BE5F-9DA5DEDF27A7}"/>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4648687" name="Rectangle 133">
              <a:extLst>
                <a:ext uri="{FF2B5EF4-FFF2-40B4-BE49-F238E27FC236}">
                  <a16:creationId xmlns:a16="http://schemas.microsoft.com/office/drawing/2014/main" id="{A8B47EB1-A01A-4CAD-A2E1-60D2126087F5}"/>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grpSp>
        <xdr:nvGrpSpPr>
          <xdr:cNvPr id="4648683" name="Groupe 123">
            <a:extLst>
              <a:ext uri="{FF2B5EF4-FFF2-40B4-BE49-F238E27FC236}">
                <a16:creationId xmlns:a16="http://schemas.microsoft.com/office/drawing/2014/main" id="{CF1E932D-C2F3-4D37-B535-3CA44DE1FA6E}"/>
              </a:ext>
            </a:extLst>
          </xdr:cNvPr>
          <xdr:cNvGrpSpPr>
            <a:grpSpLocks/>
          </xdr:cNvGrpSpPr>
        </xdr:nvGrpSpPr>
        <xdr:grpSpPr bwMode="auto">
          <a:xfrm>
            <a:off x="7724775" y="26555700"/>
            <a:ext cx="781050" cy="371475"/>
            <a:chOff x="4429125" y="27365325"/>
            <a:chExt cx="781050" cy="371475"/>
          </a:xfrm>
        </xdr:grpSpPr>
        <xdr:sp macro="" textlink="">
          <xdr:nvSpPr>
            <xdr:cNvPr id="4648684" name="Rectangle 130">
              <a:extLst>
                <a:ext uri="{FF2B5EF4-FFF2-40B4-BE49-F238E27FC236}">
                  <a16:creationId xmlns:a16="http://schemas.microsoft.com/office/drawing/2014/main" id="{3387B51A-C3F6-4C51-AE5F-5A935D499559}"/>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4648685" name="Rectangle 131">
              <a:extLst>
                <a:ext uri="{FF2B5EF4-FFF2-40B4-BE49-F238E27FC236}">
                  <a16:creationId xmlns:a16="http://schemas.microsoft.com/office/drawing/2014/main" id="{6450205E-6852-490E-B9C6-3D4681FE191A}"/>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grpSp>
    <xdr:clientData/>
  </xdr:twoCellAnchor>
  <xdr:twoCellAnchor>
    <xdr:from>
      <xdr:col>14</xdr:col>
      <xdr:colOff>85725</xdr:colOff>
      <xdr:row>70</xdr:row>
      <xdr:rowOff>28575</xdr:rowOff>
    </xdr:from>
    <xdr:to>
      <xdr:col>16</xdr:col>
      <xdr:colOff>47625</xdr:colOff>
      <xdr:row>71</xdr:row>
      <xdr:rowOff>152400</xdr:rowOff>
    </xdr:to>
    <xdr:grpSp>
      <xdr:nvGrpSpPr>
        <xdr:cNvPr id="4648569" name="Groupe 162">
          <a:extLst>
            <a:ext uri="{FF2B5EF4-FFF2-40B4-BE49-F238E27FC236}">
              <a16:creationId xmlns:a16="http://schemas.microsoft.com/office/drawing/2014/main" id="{358220CC-29DD-4E8C-B21A-EBC87894B557}"/>
            </a:ext>
            <a:ext uri="{147F2762-F138-4A5C-976F-8EAC2B608ADB}">
              <a16:predDERef xmlns:a16="http://schemas.microsoft.com/office/drawing/2014/main" pred="{47093401-6BA6-4E74-A315-7EB832B123D2}"/>
            </a:ext>
          </a:extLst>
        </xdr:cNvPr>
        <xdr:cNvGrpSpPr>
          <a:grpSpLocks/>
        </xdr:cNvGrpSpPr>
      </xdr:nvGrpSpPr>
      <xdr:grpSpPr bwMode="auto">
        <a:xfrm>
          <a:off x="4838456" y="11922613"/>
          <a:ext cx="802054" cy="294787"/>
          <a:chOff x="4429125" y="27365325"/>
          <a:chExt cx="781050" cy="371475"/>
        </a:xfrm>
      </xdr:grpSpPr>
      <xdr:sp macro="" textlink="">
        <xdr:nvSpPr>
          <xdr:cNvPr id="4648673" name="Rectangle 163">
            <a:extLst>
              <a:ext uri="{FF2B5EF4-FFF2-40B4-BE49-F238E27FC236}">
                <a16:creationId xmlns:a16="http://schemas.microsoft.com/office/drawing/2014/main" id="{569B630A-6819-48AE-8C6E-511B66A301CC}"/>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4648674" name="Rectangle 164">
            <a:extLst>
              <a:ext uri="{FF2B5EF4-FFF2-40B4-BE49-F238E27FC236}">
                <a16:creationId xmlns:a16="http://schemas.microsoft.com/office/drawing/2014/main" id="{EBF32AC8-E1DC-4779-8E8C-3CB9B4D62FC7}"/>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15</xdr:col>
      <xdr:colOff>28575</xdr:colOff>
      <xdr:row>76</xdr:row>
      <xdr:rowOff>0</xdr:rowOff>
    </xdr:from>
    <xdr:to>
      <xdr:col>16</xdr:col>
      <xdr:colOff>19050</xdr:colOff>
      <xdr:row>78</xdr:row>
      <xdr:rowOff>57150</xdr:rowOff>
    </xdr:to>
    <xdr:sp macro="" textlink="">
      <xdr:nvSpPr>
        <xdr:cNvPr id="4648570" name="Rectangle 165">
          <a:extLst>
            <a:ext uri="{FF2B5EF4-FFF2-40B4-BE49-F238E27FC236}">
              <a16:creationId xmlns:a16="http://schemas.microsoft.com/office/drawing/2014/main" id="{29C1C089-5E78-4DF8-B81A-5789D9D81751}"/>
            </a:ext>
          </a:extLst>
        </xdr:cNvPr>
        <xdr:cNvSpPr>
          <a:spLocks noChangeArrowheads="1"/>
        </xdr:cNvSpPr>
      </xdr:nvSpPr>
      <xdr:spPr bwMode="auto">
        <a:xfrm>
          <a:off x="4953000" y="12792075"/>
          <a:ext cx="390525" cy="400050"/>
        </a:xfrm>
        <a:prstGeom prst="rect">
          <a:avLst/>
        </a:prstGeom>
        <a:solidFill>
          <a:srgbClr val="FFFFFF"/>
        </a:solidFill>
        <a:ln w="9525" algn="ctr">
          <a:solidFill>
            <a:srgbClr val="000000"/>
          </a:solidFill>
          <a:round/>
          <a:headEnd/>
          <a:tailEnd/>
        </a:ln>
      </xdr:spPr>
    </xdr:sp>
    <xdr:clientData/>
  </xdr:twoCellAnchor>
  <xdr:twoCellAnchor>
    <xdr:from>
      <xdr:col>7</xdr:col>
      <xdr:colOff>66675</xdr:colOff>
      <xdr:row>12</xdr:row>
      <xdr:rowOff>85725</xdr:rowOff>
    </xdr:from>
    <xdr:to>
      <xdr:col>8</xdr:col>
      <xdr:colOff>400050</xdr:colOff>
      <xdr:row>14</xdr:row>
      <xdr:rowOff>66675</xdr:rowOff>
    </xdr:to>
    <xdr:grpSp>
      <xdr:nvGrpSpPr>
        <xdr:cNvPr id="4648571" name="Groupe 147">
          <a:extLst>
            <a:ext uri="{FF2B5EF4-FFF2-40B4-BE49-F238E27FC236}">
              <a16:creationId xmlns:a16="http://schemas.microsoft.com/office/drawing/2014/main" id="{E46FFA69-9336-4BC1-AF99-9387F8BEFFB4}"/>
            </a:ext>
          </a:extLst>
        </xdr:cNvPr>
        <xdr:cNvGrpSpPr>
          <a:grpSpLocks/>
        </xdr:cNvGrpSpPr>
      </xdr:nvGrpSpPr>
      <xdr:grpSpPr bwMode="auto">
        <a:xfrm>
          <a:off x="2298944" y="2127494"/>
          <a:ext cx="763221" cy="303335"/>
          <a:chOff x="4429125" y="27365325"/>
          <a:chExt cx="781050" cy="371475"/>
        </a:xfrm>
      </xdr:grpSpPr>
      <xdr:sp macro="" textlink="">
        <xdr:nvSpPr>
          <xdr:cNvPr id="4648671" name="Rectangle 148">
            <a:extLst>
              <a:ext uri="{FF2B5EF4-FFF2-40B4-BE49-F238E27FC236}">
                <a16:creationId xmlns:a16="http://schemas.microsoft.com/office/drawing/2014/main" id="{DAF32D1A-AF75-4556-B457-ADDF8585B51C}"/>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4648672" name="Rectangle 149">
            <a:extLst>
              <a:ext uri="{FF2B5EF4-FFF2-40B4-BE49-F238E27FC236}">
                <a16:creationId xmlns:a16="http://schemas.microsoft.com/office/drawing/2014/main" id="{A3BB24D4-007D-469E-AE5C-D11BC9146B14}"/>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7</xdr:col>
      <xdr:colOff>314325</xdr:colOff>
      <xdr:row>17</xdr:row>
      <xdr:rowOff>0</xdr:rowOff>
    </xdr:from>
    <xdr:to>
      <xdr:col>8</xdr:col>
      <xdr:colOff>276225</xdr:colOff>
      <xdr:row>17</xdr:row>
      <xdr:rowOff>152400</xdr:rowOff>
    </xdr:to>
    <xdr:sp macro="" textlink="">
      <xdr:nvSpPr>
        <xdr:cNvPr id="4648572" name="Rectangle 243">
          <a:extLst>
            <a:ext uri="{FF2B5EF4-FFF2-40B4-BE49-F238E27FC236}">
              <a16:creationId xmlns:a16="http://schemas.microsoft.com/office/drawing/2014/main" id="{05D860FA-7C9E-4661-950C-61BBC5F006B0}"/>
            </a:ext>
          </a:extLst>
        </xdr:cNvPr>
        <xdr:cNvSpPr>
          <a:spLocks noChangeArrowheads="1"/>
        </xdr:cNvSpPr>
      </xdr:nvSpPr>
      <xdr:spPr bwMode="auto">
        <a:xfrm>
          <a:off x="2438400" y="2876550"/>
          <a:ext cx="371475" cy="152400"/>
        </a:xfrm>
        <a:prstGeom prst="rect">
          <a:avLst/>
        </a:prstGeom>
        <a:solidFill>
          <a:srgbClr val="FFFFFF"/>
        </a:solidFill>
        <a:ln w="9525" algn="ctr">
          <a:solidFill>
            <a:srgbClr val="000000"/>
          </a:solidFill>
          <a:round/>
          <a:headEnd/>
          <a:tailEnd/>
        </a:ln>
      </xdr:spPr>
    </xdr:sp>
    <xdr:clientData/>
  </xdr:twoCellAnchor>
  <xdr:twoCellAnchor>
    <xdr:from>
      <xdr:col>7</xdr:col>
      <xdr:colOff>314325</xdr:colOff>
      <xdr:row>18</xdr:row>
      <xdr:rowOff>0</xdr:rowOff>
    </xdr:from>
    <xdr:to>
      <xdr:col>8</xdr:col>
      <xdr:colOff>276225</xdr:colOff>
      <xdr:row>18</xdr:row>
      <xdr:rowOff>152400</xdr:rowOff>
    </xdr:to>
    <xdr:sp macro="" textlink="">
      <xdr:nvSpPr>
        <xdr:cNvPr id="4648573" name="Rectangle 243">
          <a:extLst>
            <a:ext uri="{FF2B5EF4-FFF2-40B4-BE49-F238E27FC236}">
              <a16:creationId xmlns:a16="http://schemas.microsoft.com/office/drawing/2014/main" id="{8E8025CA-C9C2-4805-9D48-18A3046AF7C8}"/>
            </a:ext>
          </a:extLst>
        </xdr:cNvPr>
        <xdr:cNvSpPr>
          <a:spLocks noChangeArrowheads="1"/>
        </xdr:cNvSpPr>
      </xdr:nvSpPr>
      <xdr:spPr bwMode="auto">
        <a:xfrm>
          <a:off x="2438400" y="3038475"/>
          <a:ext cx="371475" cy="152400"/>
        </a:xfrm>
        <a:prstGeom prst="rect">
          <a:avLst/>
        </a:prstGeom>
        <a:solidFill>
          <a:srgbClr val="FFFFFF"/>
        </a:solidFill>
        <a:ln w="9525" algn="ctr">
          <a:solidFill>
            <a:srgbClr val="000000"/>
          </a:solidFill>
          <a:round/>
          <a:headEnd/>
          <a:tailEnd/>
        </a:ln>
      </xdr:spPr>
    </xdr:sp>
    <xdr:clientData/>
  </xdr:twoCellAnchor>
  <xdr:twoCellAnchor>
    <xdr:from>
      <xdr:col>7</xdr:col>
      <xdr:colOff>314325</xdr:colOff>
      <xdr:row>19</xdr:row>
      <xdr:rowOff>0</xdr:rowOff>
    </xdr:from>
    <xdr:to>
      <xdr:col>8</xdr:col>
      <xdr:colOff>276225</xdr:colOff>
      <xdr:row>19</xdr:row>
      <xdr:rowOff>152400</xdr:rowOff>
    </xdr:to>
    <xdr:sp macro="" textlink="">
      <xdr:nvSpPr>
        <xdr:cNvPr id="4648574" name="Rectangle 243">
          <a:extLst>
            <a:ext uri="{FF2B5EF4-FFF2-40B4-BE49-F238E27FC236}">
              <a16:creationId xmlns:a16="http://schemas.microsoft.com/office/drawing/2014/main" id="{2F7E5622-E768-424B-A0E1-B11B4B9EE703}"/>
            </a:ext>
          </a:extLst>
        </xdr:cNvPr>
        <xdr:cNvSpPr>
          <a:spLocks noChangeArrowheads="1"/>
        </xdr:cNvSpPr>
      </xdr:nvSpPr>
      <xdr:spPr bwMode="auto">
        <a:xfrm>
          <a:off x="2438400" y="3209925"/>
          <a:ext cx="371475" cy="152400"/>
        </a:xfrm>
        <a:prstGeom prst="rect">
          <a:avLst/>
        </a:prstGeom>
        <a:solidFill>
          <a:srgbClr val="FFFFFF"/>
        </a:solidFill>
        <a:ln w="9525" algn="ctr">
          <a:solidFill>
            <a:srgbClr val="000000"/>
          </a:solidFill>
          <a:round/>
          <a:headEnd/>
          <a:tailEnd/>
        </a:ln>
      </xdr:spPr>
    </xdr:sp>
    <xdr:clientData/>
  </xdr:twoCellAnchor>
  <xdr:twoCellAnchor>
    <xdr:from>
      <xdr:col>25</xdr:col>
      <xdr:colOff>219075</xdr:colOff>
      <xdr:row>47</xdr:row>
      <xdr:rowOff>38100</xdr:rowOff>
    </xdr:from>
    <xdr:to>
      <xdr:col>26</xdr:col>
      <xdr:colOff>266700</xdr:colOff>
      <xdr:row>49</xdr:row>
      <xdr:rowOff>152400</xdr:rowOff>
    </xdr:to>
    <xdr:sp macro="" textlink="">
      <xdr:nvSpPr>
        <xdr:cNvPr id="4648575" name="Rectangle 165">
          <a:extLst>
            <a:ext uri="{FF2B5EF4-FFF2-40B4-BE49-F238E27FC236}">
              <a16:creationId xmlns:a16="http://schemas.microsoft.com/office/drawing/2014/main" id="{C83FD567-C061-4C61-9A75-1EB8FAB07116}"/>
            </a:ext>
          </a:extLst>
        </xdr:cNvPr>
        <xdr:cNvSpPr>
          <a:spLocks noChangeArrowheads="1"/>
        </xdr:cNvSpPr>
      </xdr:nvSpPr>
      <xdr:spPr bwMode="auto">
        <a:xfrm>
          <a:off x="8534400" y="8029575"/>
          <a:ext cx="371475" cy="457200"/>
        </a:xfrm>
        <a:prstGeom prst="rect">
          <a:avLst/>
        </a:prstGeom>
        <a:solidFill>
          <a:srgbClr val="FFFFFF"/>
        </a:solidFill>
        <a:ln w="9525" algn="ctr">
          <a:solidFill>
            <a:srgbClr val="000000"/>
          </a:solidFill>
          <a:round/>
          <a:headEnd/>
          <a:tailEnd/>
        </a:ln>
      </xdr:spPr>
    </xdr:sp>
    <xdr:clientData/>
  </xdr:twoCellAnchor>
  <xdr:twoCellAnchor>
    <xdr:from>
      <xdr:col>24</xdr:col>
      <xdr:colOff>323850</xdr:colOff>
      <xdr:row>53</xdr:row>
      <xdr:rowOff>47625</xdr:rowOff>
    </xdr:from>
    <xdr:to>
      <xdr:col>25</xdr:col>
      <xdr:colOff>314325</xdr:colOff>
      <xdr:row>55</xdr:row>
      <xdr:rowOff>104775</xdr:rowOff>
    </xdr:to>
    <xdr:sp macro="" textlink="">
      <xdr:nvSpPr>
        <xdr:cNvPr id="4648576" name="Rectangle 166">
          <a:extLst>
            <a:ext uri="{FF2B5EF4-FFF2-40B4-BE49-F238E27FC236}">
              <a16:creationId xmlns:a16="http://schemas.microsoft.com/office/drawing/2014/main" id="{CDB765A1-8152-48B6-B62B-A64F79EF345A}"/>
            </a:ext>
          </a:extLst>
        </xdr:cNvPr>
        <xdr:cNvSpPr>
          <a:spLocks noChangeArrowheads="1"/>
        </xdr:cNvSpPr>
      </xdr:nvSpPr>
      <xdr:spPr bwMode="auto">
        <a:xfrm>
          <a:off x="8315325" y="9067800"/>
          <a:ext cx="314325" cy="400050"/>
        </a:xfrm>
        <a:prstGeom prst="rect">
          <a:avLst/>
        </a:prstGeom>
        <a:solidFill>
          <a:srgbClr val="FFFFFF"/>
        </a:solidFill>
        <a:ln w="9525" algn="ctr">
          <a:solidFill>
            <a:srgbClr val="000000"/>
          </a:solidFill>
          <a:round/>
          <a:headEnd/>
          <a:tailEnd/>
        </a:ln>
      </xdr:spPr>
    </xdr:sp>
    <xdr:clientData/>
  </xdr:twoCellAnchor>
  <xdr:twoCellAnchor>
    <xdr:from>
      <xdr:col>19</xdr:col>
      <xdr:colOff>9525</xdr:colOff>
      <xdr:row>62</xdr:row>
      <xdr:rowOff>9525</xdr:rowOff>
    </xdr:from>
    <xdr:to>
      <xdr:col>26</xdr:col>
      <xdr:colOff>238125</xdr:colOff>
      <xdr:row>63</xdr:row>
      <xdr:rowOff>123825</xdr:rowOff>
    </xdr:to>
    <xdr:grpSp>
      <xdr:nvGrpSpPr>
        <xdr:cNvPr id="4648577" name="Groupe 167">
          <a:extLst>
            <a:ext uri="{FF2B5EF4-FFF2-40B4-BE49-F238E27FC236}">
              <a16:creationId xmlns:a16="http://schemas.microsoft.com/office/drawing/2014/main" id="{4CC1F24F-8F9D-4B98-955E-1049D656CB26}"/>
            </a:ext>
          </a:extLst>
        </xdr:cNvPr>
        <xdr:cNvGrpSpPr>
          <a:grpSpLocks/>
        </xdr:cNvGrpSpPr>
      </xdr:nvGrpSpPr>
      <xdr:grpSpPr bwMode="auto">
        <a:xfrm>
          <a:off x="6813794" y="10565179"/>
          <a:ext cx="2573216" cy="285261"/>
          <a:chOff x="5295900" y="29260800"/>
          <a:chExt cx="2447926" cy="285750"/>
        </a:xfrm>
      </xdr:grpSpPr>
      <xdr:grpSp>
        <xdr:nvGrpSpPr>
          <xdr:cNvPr id="4648662" name="Groupe 24">
            <a:extLst>
              <a:ext uri="{FF2B5EF4-FFF2-40B4-BE49-F238E27FC236}">
                <a16:creationId xmlns:a16="http://schemas.microsoft.com/office/drawing/2014/main" id="{E4DED078-C9BA-45FE-8EF7-ADCFC3D139D3}"/>
              </a:ext>
            </a:extLst>
          </xdr:cNvPr>
          <xdr:cNvGrpSpPr>
            <a:grpSpLocks/>
          </xdr:cNvGrpSpPr>
        </xdr:nvGrpSpPr>
        <xdr:grpSpPr bwMode="auto">
          <a:xfrm>
            <a:off x="6124574" y="29260800"/>
            <a:ext cx="790576" cy="285750"/>
            <a:chOff x="7439024" y="28575000"/>
            <a:chExt cx="790576" cy="285750"/>
          </a:xfrm>
        </xdr:grpSpPr>
        <xdr:sp macro="" textlink="">
          <xdr:nvSpPr>
            <xdr:cNvPr id="4648669" name="Rectangle 175">
              <a:extLst>
                <a:ext uri="{FF2B5EF4-FFF2-40B4-BE49-F238E27FC236}">
                  <a16:creationId xmlns:a16="http://schemas.microsoft.com/office/drawing/2014/main" id="{29724A1B-B236-4FB9-8687-9331833D0E13}"/>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70" name="Rectangle 176">
              <a:extLst>
                <a:ext uri="{FF2B5EF4-FFF2-40B4-BE49-F238E27FC236}">
                  <a16:creationId xmlns:a16="http://schemas.microsoft.com/office/drawing/2014/main" id="{00E8C820-20AD-4B5B-873B-B066CE49745F}"/>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663" name="Groupe 25">
            <a:extLst>
              <a:ext uri="{FF2B5EF4-FFF2-40B4-BE49-F238E27FC236}">
                <a16:creationId xmlns:a16="http://schemas.microsoft.com/office/drawing/2014/main" id="{13DDDDCF-4CFB-4E87-9347-523C8F07DD5B}"/>
              </a:ext>
            </a:extLst>
          </xdr:cNvPr>
          <xdr:cNvGrpSpPr>
            <a:grpSpLocks/>
          </xdr:cNvGrpSpPr>
        </xdr:nvGrpSpPr>
        <xdr:grpSpPr bwMode="auto">
          <a:xfrm>
            <a:off x="5295900" y="29260800"/>
            <a:ext cx="790576" cy="285750"/>
            <a:chOff x="7439024" y="28575000"/>
            <a:chExt cx="790576" cy="285750"/>
          </a:xfrm>
        </xdr:grpSpPr>
        <xdr:sp macro="" textlink="">
          <xdr:nvSpPr>
            <xdr:cNvPr id="4648667" name="Rectangle 173">
              <a:extLst>
                <a:ext uri="{FF2B5EF4-FFF2-40B4-BE49-F238E27FC236}">
                  <a16:creationId xmlns:a16="http://schemas.microsoft.com/office/drawing/2014/main" id="{4D71E56A-F7BE-45CD-99C9-10B00E36C200}"/>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68" name="Rectangle 174">
              <a:extLst>
                <a:ext uri="{FF2B5EF4-FFF2-40B4-BE49-F238E27FC236}">
                  <a16:creationId xmlns:a16="http://schemas.microsoft.com/office/drawing/2014/main" id="{E364952C-0B03-4BC8-9C5F-5F48775AD555}"/>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664" name="Groupe 28">
            <a:extLst>
              <a:ext uri="{FF2B5EF4-FFF2-40B4-BE49-F238E27FC236}">
                <a16:creationId xmlns:a16="http://schemas.microsoft.com/office/drawing/2014/main" id="{82B092F0-4177-4550-8D29-1E71AF5DD762}"/>
              </a:ext>
            </a:extLst>
          </xdr:cNvPr>
          <xdr:cNvGrpSpPr>
            <a:grpSpLocks/>
          </xdr:cNvGrpSpPr>
        </xdr:nvGrpSpPr>
        <xdr:grpSpPr bwMode="auto">
          <a:xfrm>
            <a:off x="6953250" y="29260800"/>
            <a:ext cx="790576" cy="285750"/>
            <a:chOff x="7439024" y="28575000"/>
            <a:chExt cx="790576" cy="285750"/>
          </a:xfrm>
        </xdr:grpSpPr>
        <xdr:sp macro="" textlink="">
          <xdr:nvSpPr>
            <xdr:cNvPr id="4648665" name="Rectangle 171">
              <a:extLst>
                <a:ext uri="{FF2B5EF4-FFF2-40B4-BE49-F238E27FC236}">
                  <a16:creationId xmlns:a16="http://schemas.microsoft.com/office/drawing/2014/main" id="{E84E7F05-A501-4512-84FC-A2AD7219DE1A}"/>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66" name="Rectangle 172">
              <a:extLst>
                <a:ext uri="{FF2B5EF4-FFF2-40B4-BE49-F238E27FC236}">
                  <a16:creationId xmlns:a16="http://schemas.microsoft.com/office/drawing/2014/main" id="{A01EE7C8-9490-4A87-85A3-CF5D01D0E641}"/>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25</xdr:col>
      <xdr:colOff>133350</xdr:colOff>
      <xdr:row>78</xdr:row>
      <xdr:rowOff>142875</xdr:rowOff>
    </xdr:from>
    <xdr:to>
      <xdr:col>26</xdr:col>
      <xdr:colOff>219075</xdr:colOff>
      <xdr:row>80</xdr:row>
      <xdr:rowOff>133350</xdr:rowOff>
    </xdr:to>
    <xdr:sp macro="" textlink="">
      <xdr:nvSpPr>
        <xdr:cNvPr id="4648578" name="Rectangle 17">
          <a:extLst>
            <a:ext uri="{FF2B5EF4-FFF2-40B4-BE49-F238E27FC236}">
              <a16:creationId xmlns:a16="http://schemas.microsoft.com/office/drawing/2014/main" id="{88563DE1-CDC2-40EC-BCB8-5ADC40A8ABFD}"/>
            </a:ext>
          </a:extLst>
        </xdr:cNvPr>
        <xdr:cNvSpPr>
          <a:spLocks noChangeArrowheads="1"/>
        </xdr:cNvSpPr>
      </xdr:nvSpPr>
      <xdr:spPr bwMode="auto">
        <a:xfrm>
          <a:off x="8448675" y="13449300"/>
          <a:ext cx="409575" cy="333375"/>
        </a:xfrm>
        <a:prstGeom prst="rect">
          <a:avLst/>
        </a:prstGeom>
        <a:solidFill>
          <a:srgbClr val="FFFFFF"/>
        </a:solidFill>
        <a:ln w="9525" algn="ctr">
          <a:solidFill>
            <a:srgbClr val="000000"/>
          </a:solidFill>
          <a:round/>
          <a:headEnd/>
          <a:tailEnd/>
        </a:ln>
      </xdr:spPr>
    </xdr:sp>
    <xdr:clientData/>
  </xdr:twoCellAnchor>
  <xdr:twoCellAnchor>
    <xdr:from>
      <xdr:col>25</xdr:col>
      <xdr:colOff>171450</xdr:colOff>
      <xdr:row>83</xdr:row>
      <xdr:rowOff>0</xdr:rowOff>
    </xdr:from>
    <xdr:to>
      <xdr:col>26</xdr:col>
      <xdr:colOff>200025</xdr:colOff>
      <xdr:row>84</xdr:row>
      <xdr:rowOff>123825</xdr:rowOff>
    </xdr:to>
    <xdr:sp macro="" textlink="">
      <xdr:nvSpPr>
        <xdr:cNvPr id="4648579" name="Rectangle 18">
          <a:extLst>
            <a:ext uri="{FF2B5EF4-FFF2-40B4-BE49-F238E27FC236}">
              <a16:creationId xmlns:a16="http://schemas.microsoft.com/office/drawing/2014/main" id="{BBABC9C3-CD3A-4CB6-82A6-15B8E89097C5}"/>
            </a:ext>
          </a:extLst>
        </xdr:cNvPr>
        <xdr:cNvSpPr>
          <a:spLocks noChangeArrowheads="1"/>
        </xdr:cNvSpPr>
      </xdr:nvSpPr>
      <xdr:spPr bwMode="auto">
        <a:xfrm>
          <a:off x="8486775" y="14163675"/>
          <a:ext cx="352425" cy="295275"/>
        </a:xfrm>
        <a:prstGeom prst="rect">
          <a:avLst/>
        </a:prstGeom>
        <a:solidFill>
          <a:srgbClr val="FFFFFF"/>
        </a:solidFill>
        <a:ln w="9525" algn="ctr">
          <a:solidFill>
            <a:srgbClr val="000000"/>
          </a:solidFill>
          <a:round/>
          <a:headEnd/>
          <a:tailEnd/>
        </a:ln>
      </xdr:spPr>
    </xdr:sp>
    <xdr:clientData/>
  </xdr:twoCellAnchor>
  <xdr:twoCellAnchor>
    <xdr:from>
      <xdr:col>25</xdr:col>
      <xdr:colOff>0</xdr:colOff>
      <xdr:row>71</xdr:row>
      <xdr:rowOff>0</xdr:rowOff>
    </xdr:from>
    <xdr:to>
      <xdr:col>26</xdr:col>
      <xdr:colOff>19050</xdr:colOff>
      <xdr:row>73</xdr:row>
      <xdr:rowOff>38100</xdr:rowOff>
    </xdr:to>
    <xdr:sp macro="" textlink="">
      <xdr:nvSpPr>
        <xdr:cNvPr id="4648581" name="Rectangle 177">
          <a:extLst>
            <a:ext uri="{FF2B5EF4-FFF2-40B4-BE49-F238E27FC236}">
              <a16:creationId xmlns:a16="http://schemas.microsoft.com/office/drawing/2014/main" id="{5455D7C9-C30A-425F-B2FE-3F96499695A7}"/>
            </a:ext>
          </a:extLst>
        </xdr:cNvPr>
        <xdr:cNvSpPr>
          <a:spLocks noChangeArrowheads="1"/>
        </xdr:cNvSpPr>
      </xdr:nvSpPr>
      <xdr:spPr bwMode="auto">
        <a:xfrm>
          <a:off x="8315325" y="12106275"/>
          <a:ext cx="342900" cy="381000"/>
        </a:xfrm>
        <a:prstGeom prst="rect">
          <a:avLst/>
        </a:prstGeom>
        <a:solidFill>
          <a:srgbClr val="FFFFFF"/>
        </a:solidFill>
        <a:ln w="9525" algn="ctr">
          <a:solidFill>
            <a:srgbClr val="000000"/>
          </a:solidFill>
          <a:round/>
          <a:headEnd/>
          <a:tailEnd/>
        </a:ln>
      </xdr:spPr>
    </xdr:sp>
    <xdr:clientData/>
  </xdr:twoCellAnchor>
  <xdr:twoCellAnchor>
    <xdr:from>
      <xdr:col>7</xdr:col>
      <xdr:colOff>219075</xdr:colOff>
      <xdr:row>96</xdr:row>
      <xdr:rowOff>38100</xdr:rowOff>
    </xdr:from>
    <xdr:to>
      <xdr:col>8</xdr:col>
      <xdr:colOff>266700</xdr:colOff>
      <xdr:row>98</xdr:row>
      <xdr:rowOff>47625</xdr:rowOff>
    </xdr:to>
    <xdr:sp macro="" textlink="">
      <xdr:nvSpPr>
        <xdr:cNvPr id="4648582" name="Rectangle 21">
          <a:extLst>
            <a:ext uri="{FF2B5EF4-FFF2-40B4-BE49-F238E27FC236}">
              <a16:creationId xmlns:a16="http://schemas.microsoft.com/office/drawing/2014/main" id="{65BBD3DD-B94E-4C33-A157-7A76E8673C9C}"/>
            </a:ext>
            <a:ext uri="{147F2762-F138-4A5C-976F-8EAC2B608ADB}">
              <a16:predDERef xmlns:a16="http://schemas.microsoft.com/office/drawing/2014/main" pred="{5455D7C9-C30A-425F-B2FE-3F96499695A7}"/>
            </a:ext>
          </a:extLst>
        </xdr:cNvPr>
        <xdr:cNvSpPr>
          <a:spLocks noChangeArrowheads="1"/>
        </xdr:cNvSpPr>
      </xdr:nvSpPr>
      <xdr:spPr bwMode="auto">
        <a:xfrm>
          <a:off x="2343150" y="16630650"/>
          <a:ext cx="457200" cy="352425"/>
        </a:xfrm>
        <a:prstGeom prst="rect">
          <a:avLst/>
        </a:prstGeom>
        <a:solidFill>
          <a:srgbClr val="FFFFFF"/>
        </a:solidFill>
        <a:ln w="9525" algn="ctr">
          <a:solidFill>
            <a:srgbClr val="000000"/>
          </a:solidFill>
          <a:round/>
          <a:headEnd/>
          <a:tailEnd/>
        </a:ln>
      </xdr:spPr>
    </xdr:sp>
    <xdr:clientData/>
  </xdr:twoCellAnchor>
  <xdr:twoCellAnchor>
    <xdr:from>
      <xdr:col>5</xdr:col>
      <xdr:colOff>333375</xdr:colOff>
      <xdr:row>101</xdr:row>
      <xdr:rowOff>38100</xdr:rowOff>
    </xdr:from>
    <xdr:to>
      <xdr:col>6</xdr:col>
      <xdr:colOff>276225</xdr:colOff>
      <xdr:row>103</xdr:row>
      <xdr:rowOff>0</xdr:rowOff>
    </xdr:to>
    <xdr:sp macro="" textlink="">
      <xdr:nvSpPr>
        <xdr:cNvPr id="4648583" name="Rectangle 119">
          <a:extLst>
            <a:ext uri="{FF2B5EF4-FFF2-40B4-BE49-F238E27FC236}">
              <a16:creationId xmlns:a16="http://schemas.microsoft.com/office/drawing/2014/main" id="{F0CAC47E-5D84-4845-9662-A389DEC32457}"/>
            </a:ext>
          </a:extLst>
        </xdr:cNvPr>
        <xdr:cNvSpPr>
          <a:spLocks noChangeArrowheads="1"/>
        </xdr:cNvSpPr>
      </xdr:nvSpPr>
      <xdr:spPr bwMode="auto">
        <a:xfrm>
          <a:off x="1781175" y="16602075"/>
          <a:ext cx="285750" cy="304800"/>
        </a:xfrm>
        <a:prstGeom prst="rect">
          <a:avLst/>
        </a:prstGeom>
        <a:solidFill>
          <a:srgbClr val="FFFFFF"/>
        </a:solidFill>
        <a:ln w="9525" algn="ctr">
          <a:solidFill>
            <a:srgbClr val="000000"/>
          </a:solidFill>
          <a:round/>
          <a:headEnd/>
          <a:tailEnd/>
        </a:ln>
      </xdr:spPr>
    </xdr:sp>
    <xdr:clientData/>
  </xdr:twoCellAnchor>
  <xdr:twoCellAnchor>
    <xdr:from>
      <xdr:col>0</xdr:col>
      <xdr:colOff>314325</xdr:colOff>
      <xdr:row>111</xdr:row>
      <xdr:rowOff>57150</xdr:rowOff>
    </xdr:from>
    <xdr:to>
      <xdr:col>7</xdr:col>
      <xdr:colOff>390525</xdr:colOff>
      <xdr:row>113</xdr:row>
      <xdr:rowOff>76200</xdr:rowOff>
    </xdr:to>
    <xdr:grpSp>
      <xdr:nvGrpSpPr>
        <xdr:cNvPr id="4648584" name="Groupe 73">
          <a:extLst>
            <a:ext uri="{FF2B5EF4-FFF2-40B4-BE49-F238E27FC236}">
              <a16:creationId xmlns:a16="http://schemas.microsoft.com/office/drawing/2014/main" id="{8ACBBB9D-C686-4596-B236-D67968829A85}"/>
            </a:ext>
          </a:extLst>
        </xdr:cNvPr>
        <xdr:cNvGrpSpPr>
          <a:grpSpLocks/>
        </xdr:cNvGrpSpPr>
      </xdr:nvGrpSpPr>
      <xdr:grpSpPr bwMode="auto">
        <a:xfrm>
          <a:off x="314325" y="18740804"/>
          <a:ext cx="2308469" cy="341434"/>
          <a:chOff x="5295900" y="29260800"/>
          <a:chExt cx="2447926" cy="285750"/>
        </a:xfrm>
      </xdr:grpSpPr>
      <xdr:grpSp>
        <xdr:nvGrpSpPr>
          <xdr:cNvPr id="4648653" name="Groupe 24">
            <a:extLst>
              <a:ext uri="{FF2B5EF4-FFF2-40B4-BE49-F238E27FC236}">
                <a16:creationId xmlns:a16="http://schemas.microsoft.com/office/drawing/2014/main" id="{9FD2D56B-7C44-4705-8F75-C35AF260209E}"/>
              </a:ext>
            </a:extLst>
          </xdr:cNvPr>
          <xdr:cNvGrpSpPr>
            <a:grpSpLocks/>
          </xdr:cNvGrpSpPr>
        </xdr:nvGrpSpPr>
        <xdr:grpSpPr bwMode="auto">
          <a:xfrm>
            <a:off x="6124574" y="29260800"/>
            <a:ext cx="790576" cy="285750"/>
            <a:chOff x="7439024" y="28575000"/>
            <a:chExt cx="790576" cy="285750"/>
          </a:xfrm>
        </xdr:grpSpPr>
        <xdr:sp macro="" textlink="">
          <xdr:nvSpPr>
            <xdr:cNvPr id="4648660" name="Rectangle 81">
              <a:extLst>
                <a:ext uri="{FF2B5EF4-FFF2-40B4-BE49-F238E27FC236}">
                  <a16:creationId xmlns:a16="http://schemas.microsoft.com/office/drawing/2014/main" id="{263662DA-9D94-44B8-8024-2933CD0DD3FF}"/>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61" name="Rectangle 82">
              <a:extLst>
                <a:ext uri="{FF2B5EF4-FFF2-40B4-BE49-F238E27FC236}">
                  <a16:creationId xmlns:a16="http://schemas.microsoft.com/office/drawing/2014/main" id="{C8B4AD6A-2024-477C-990E-C23C1A11CD37}"/>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654" name="Groupe 25">
            <a:extLst>
              <a:ext uri="{FF2B5EF4-FFF2-40B4-BE49-F238E27FC236}">
                <a16:creationId xmlns:a16="http://schemas.microsoft.com/office/drawing/2014/main" id="{CD4A3F0B-8E02-4480-B6FD-9CDA224C4BED}"/>
              </a:ext>
            </a:extLst>
          </xdr:cNvPr>
          <xdr:cNvGrpSpPr>
            <a:grpSpLocks/>
          </xdr:cNvGrpSpPr>
        </xdr:nvGrpSpPr>
        <xdr:grpSpPr bwMode="auto">
          <a:xfrm>
            <a:off x="5295900" y="29260800"/>
            <a:ext cx="790576" cy="285750"/>
            <a:chOff x="7439024" y="28575000"/>
            <a:chExt cx="790576" cy="285750"/>
          </a:xfrm>
        </xdr:grpSpPr>
        <xdr:sp macro="" textlink="">
          <xdr:nvSpPr>
            <xdr:cNvPr id="4648658" name="Rectangle 79">
              <a:extLst>
                <a:ext uri="{FF2B5EF4-FFF2-40B4-BE49-F238E27FC236}">
                  <a16:creationId xmlns:a16="http://schemas.microsoft.com/office/drawing/2014/main" id="{15F70C8D-0D7A-4B24-AF11-BAFECB85896B}"/>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59" name="Rectangle 80">
              <a:extLst>
                <a:ext uri="{FF2B5EF4-FFF2-40B4-BE49-F238E27FC236}">
                  <a16:creationId xmlns:a16="http://schemas.microsoft.com/office/drawing/2014/main" id="{2D8DD5FE-BA7F-43FF-BEE2-987EF45B32B8}"/>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655" name="Groupe 28">
            <a:extLst>
              <a:ext uri="{FF2B5EF4-FFF2-40B4-BE49-F238E27FC236}">
                <a16:creationId xmlns:a16="http://schemas.microsoft.com/office/drawing/2014/main" id="{D752B823-2E73-4634-A6A9-CC7C0BD0B160}"/>
              </a:ext>
            </a:extLst>
          </xdr:cNvPr>
          <xdr:cNvGrpSpPr>
            <a:grpSpLocks/>
          </xdr:cNvGrpSpPr>
        </xdr:nvGrpSpPr>
        <xdr:grpSpPr bwMode="auto">
          <a:xfrm>
            <a:off x="6953250" y="29260800"/>
            <a:ext cx="790576" cy="285750"/>
            <a:chOff x="7439024" y="28575000"/>
            <a:chExt cx="790576" cy="285750"/>
          </a:xfrm>
        </xdr:grpSpPr>
        <xdr:sp macro="" textlink="">
          <xdr:nvSpPr>
            <xdr:cNvPr id="4648656" name="Rectangle 77">
              <a:extLst>
                <a:ext uri="{FF2B5EF4-FFF2-40B4-BE49-F238E27FC236}">
                  <a16:creationId xmlns:a16="http://schemas.microsoft.com/office/drawing/2014/main" id="{D8278E22-5333-40B3-8C38-C480A89CD9B0}"/>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57" name="Rectangle 78">
              <a:extLst>
                <a:ext uri="{FF2B5EF4-FFF2-40B4-BE49-F238E27FC236}">
                  <a16:creationId xmlns:a16="http://schemas.microsoft.com/office/drawing/2014/main" id="{FCD77088-2350-43FC-B902-1DB20C93AC05}"/>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7</xdr:col>
      <xdr:colOff>19050</xdr:colOff>
      <xdr:row>106</xdr:row>
      <xdr:rowOff>0</xdr:rowOff>
    </xdr:from>
    <xdr:to>
      <xdr:col>8</xdr:col>
      <xdr:colOff>19050</xdr:colOff>
      <xdr:row>107</xdr:row>
      <xdr:rowOff>152400</xdr:rowOff>
    </xdr:to>
    <xdr:sp macro="" textlink="">
      <xdr:nvSpPr>
        <xdr:cNvPr id="4648585" name="Rectangle 103">
          <a:extLst>
            <a:ext uri="{FF2B5EF4-FFF2-40B4-BE49-F238E27FC236}">
              <a16:creationId xmlns:a16="http://schemas.microsoft.com/office/drawing/2014/main" id="{87F9E62F-0381-4F1E-803F-E468F12DF9FB}"/>
            </a:ext>
          </a:extLst>
        </xdr:cNvPr>
        <xdr:cNvSpPr>
          <a:spLocks noChangeArrowheads="1"/>
        </xdr:cNvSpPr>
      </xdr:nvSpPr>
      <xdr:spPr bwMode="auto">
        <a:xfrm>
          <a:off x="2143125" y="17421225"/>
          <a:ext cx="409575" cy="323850"/>
        </a:xfrm>
        <a:prstGeom prst="rect">
          <a:avLst/>
        </a:prstGeom>
        <a:solidFill>
          <a:srgbClr val="FFFFFF"/>
        </a:solidFill>
        <a:ln w="9525" algn="ctr">
          <a:solidFill>
            <a:srgbClr val="000000"/>
          </a:solidFill>
          <a:round/>
          <a:headEnd/>
          <a:tailEnd/>
        </a:ln>
      </xdr:spPr>
    </xdr:sp>
    <xdr:clientData/>
  </xdr:twoCellAnchor>
  <xdr:twoCellAnchor>
    <xdr:from>
      <xdr:col>5</xdr:col>
      <xdr:colOff>314325</xdr:colOff>
      <xdr:row>120</xdr:row>
      <xdr:rowOff>38100</xdr:rowOff>
    </xdr:from>
    <xdr:to>
      <xdr:col>6</xdr:col>
      <xdr:colOff>304800</xdr:colOff>
      <xdr:row>121</xdr:row>
      <xdr:rowOff>152400</xdr:rowOff>
    </xdr:to>
    <xdr:sp macro="" textlink="">
      <xdr:nvSpPr>
        <xdr:cNvPr id="4648587" name="Rectangle 109">
          <a:extLst>
            <a:ext uri="{FF2B5EF4-FFF2-40B4-BE49-F238E27FC236}">
              <a16:creationId xmlns:a16="http://schemas.microsoft.com/office/drawing/2014/main" id="{6581E4DF-16AE-4995-B01F-1AF8971B5D56}"/>
            </a:ext>
          </a:extLst>
        </xdr:cNvPr>
        <xdr:cNvSpPr>
          <a:spLocks noChangeArrowheads="1"/>
        </xdr:cNvSpPr>
      </xdr:nvSpPr>
      <xdr:spPr bwMode="auto">
        <a:xfrm>
          <a:off x="1762125" y="19859625"/>
          <a:ext cx="333375" cy="285750"/>
        </a:xfrm>
        <a:prstGeom prst="rect">
          <a:avLst/>
        </a:prstGeom>
        <a:solidFill>
          <a:srgbClr val="FFFFFF"/>
        </a:solidFill>
        <a:ln w="9525" algn="ctr">
          <a:solidFill>
            <a:srgbClr val="000000"/>
          </a:solidFill>
          <a:round/>
          <a:headEnd/>
          <a:tailEnd/>
        </a:ln>
      </xdr:spPr>
    </xdr:sp>
    <xdr:clientData/>
  </xdr:twoCellAnchor>
  <xdr:twoCellAnchor>
    <xdr:from>
      <xdr:col>5</xdr:col>
      <xdr:colOff>28575</xdr:colOff>
      <xdr:row>124</xdr:row>
      <xdr:rowOff>38100</xdr:rowOff>
    </xdr:from>
    <xdr:to>
      <xdr:col>6</xdr:col>
      <xdr:colOff>9525</xdr:colOff>
      <xdr:row>126</xdr:row>
      <xdr:rowOff>0</xdr:rowOff>
    </xdr:to>
    <xdr:sp macro="" textlink="">
      <xdr:nvSpPr>
        <xdr:cNvPr id="4648588" name="Rectangle 110">
          <a:extLst>
            <a:ext uri="{FF2B5EF4-FFF2-40B4-BE49-F238E27FC236}">
              <a16:creationId xmlns:a16="http://schemas.microsoft.com/office/drawing/2014/main" id="{2C0BA60E-9364-4B9E-BBC4-4BC207A80F19}"/>
            </a:ext>
          </a:extLst>
        </xdr:cNvPr>
        <xdr:cNvSpPr>
          <a:spLocks noChangeArrowheads="1"/>
        </xdr:cNvSpPr>
      </xdr:nvSpPr>
      <xdr:spPr bwMode="auto">
        <a:xfrm>
          <a:off x="1476375" y="20545425"/>
          <a:ext cx="323850" cy="304800"/>
        </a:xfrm>
        <a:prstGeom prst="rect">
          <a:avLst/>
        </a:prstGeom>
        <a:solidFill>
          <a:srgbClr val="FFFFFF"/>
        </a:solidFill>
        <a:ln w="9525" algn="ctr">
          <a:solidFill>
            <a:srgbClr val="000000"/>
          </a:solidFill>
          <a:round/>
          <a:headEnd/>
          <a:tailEnd/>
        </a:ln>
      </xdr:spPr>
    </xdr:sp>
    <xdr:clientData/>
  </xdr:twoCellAnchor>
  <xdr:twoCellAnchor>
    <xdr:from>
      <xdr:col>1</xdr:col>
      <xdr:colOff>38100</xdr:colOff>
      <xdr:row>129</xdr:row>
      <xdr:rowOff>9525</xdr:rowOff>
    </xdr:from>
    <xdr:to>
      <xdr:col>8</xdr:col>
      <xdr:colOff>38100</xdr:colOff>
      <xdr:row>130</xdr:row>
      <xdr:rowOff>123825</xdr:rowOff>
    </xdr:to>
    <xdr:grpSp>
      <xdr:nvGrpSpPr>
        <xdr:cNvPr id="4648589" name="Groupe 73">
          <a:extLst>
            <a:ext uri="{FF2B5EF4-FFF2-40B4-BE49-F238E27FC236}">
              <a16:creationId xmlns:a16="http://schemas.microsoft.com/office/drawing/2014/main" id="{24BD8F5E-D10E-4C13-A074-C5C28AF3A6A5}"/>
            </a:ext>
          </a:extLst>
        </xdr:cNvPr>
        <xdr:cNvGrpSpPr>
          <a:grpSpLocks/>
        </xdr:cNvGrpSpPr>
      </xdr:nvGrpSpPr>
      <xdr:grpSpPr bwMode="auto">
        <a:xfrm>
          <a:off x="419100" y="21682563"/>
          <a:ext cx="2281115" cy="285262"/>
          <a:chOff x="5295900" y="29260800"/>
          <a:chExt cx="2447926" cy="285750"/>
        </a:xfrm>
      </xdr:grpSpPr>
      <xdr:grpSp>
        <xdr:nvGrpSpPr>
          <xdr:cNvPr id="4648644" name="Groupe 24">
            <a:extLst>
              <a:ext uri="{FF2B5EF4-FFF2-40B4-BE49-F238E27FC236}">
                <a16:creationId xmlns:a16="http://schemas.microsoft.com/office/drawing/2014/main" id="{44A71A30-503A-4BD2-B8F1-19B4137CC30D}"/>
              </a:ext>
            </a:extLst>
          </xdr:cNvPr>
          <xdr:cNvGrpSpPr>
            <a:grpSpLocks/>
          </xdr:cNvGrpSpPr>
        </xdr:nvGrpSpPr>
        <xdr:grpSpPr bwMode="auto">
          <a:xfrm>
            <a:off x="6124574" y="29260800"/>
            <a:ext cx="790576" cy="285750"/>
            <a:chOff x="7439024" y="28575000"/>
            <a:chExt cx="790576" cy="285750"/>
          </a:xfrm>
        </xdr:grpSpPr>
        <xdr:sp macro="" textlink="">
          <xdr:nvSpPr>
            <xdr:cNvPr id="4648651" name="Rectangle 81">
              <a:extLst>
                <a:ext uri="{FF2B5EF4-FFF2-40B4-BE49-F238E27FC236}">
                  <a16:creationId xmlns:a16="http://schemas.microsoft.com/office/drawing/2014/main" id="{69FDF811-730B-4408-BE90-50BFB6625E65}"/>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52" name="Rectangle 82">
              <a:extLst>
                <a:ext uri="{FF2B5EF4-FFF2-40B4-BE49-F238E27FC236}">
                  <a16:creationId xmlns:a16="http://schemas.microsoft.com/office/drawing/2014/main" id="{2BC3F2D0-F303-4173-A9DE-D23B411E35E8}"/>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645" name="Groupe 25">
            <a:extLst>
              <a:ext uri="{FF2B5EF4-FFF2-40B4-BE49-F238E27FC236}">
                <a16:creationId xmlns:a16="http://schemas.microsoft.com/office/drawing/2014/main" id="{DF21A842-5985-4687-8600-ADD573FFFA43}"/>
              </a:ext>
            </a:extLst>
          </xdr:cNvPr>
          <xdr:cNvGrpSpPr>
            <a:grpSpLocks/>
          </xdr:cNvGrpSpPr>
        </xdr:nvGrpSpPr>
        <xdr:grpSpPr bwMode="auto">
          <a:xfrm>
            <a:off x="5295900" y="29260800"/>
            <a:ext cx="790576" cy="285750"/>
            <a:chOff x="7439024" y="28575000"/>
            <a:chExt cx="790576" cy="285750"/>
          </a:xfrm>
        </xdr:grpSpPr>
        <xdr:sp macro="" textlink="">
          <xdr:nvSpPr>
            <xdr:cNvPr id="4648649" name="Rectangle 79">
              <a:extLst>
                <a:ext uri="{FF2B5EF4-FFF2-40B4-BE49-F238E27FC236}">
                  <a16:creationId xmlns:a16="http://schemas.microsoft.com/office/drawing/2014/main" id="{49AAEA0E-57F2-4CD3-9138-7102C2882F92}"/>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50" name="Rectangle 80">
              <a:extLst>
                <a:ext uri="{FF2B5EF4-FFF2-40B4-BE49-F238E27FC236}">
                  <a16:creationId xmlns:a16="http://schemas.microsoft.com/office/drawing/2014/main" id="{E2113B8C-16E9-40A8-8CFC-E9EFF91C199B}"/>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646" name="Groupe 28">
            <a:extLst>
              <a:ext uri="{FF2B5EF4-FFF2-40B4-BE49-F238E27FC236}">
                <a16:creationId xmlns:a16="http://schemas.microsoft.com/office/drawing/2014/main" id="{8EFDE446-C91B-46F7-A125-7F76A3CF2AFC}"/>
              </a:ext>
            </a:extLst>
          </xdr:cNvPr>
          <xdr:cNvGrpSpPr>
            <a:grpSpLocks/>
          </xdr:cNvGrpSpPr>
        </xdr:nvGrpSpPr>
        <xdr:grpSpPr bwMode="auto">
          <a:xfrm>
            <a:off x="6953250" y="29260800"/>
            <a:ext cx="790576" cy="285750"/>
            <a:chOff x="7439024" y="28575000"/>
            <a:chExt cx="790576" cy="285750"/>
          </a:xfrm>
        </xdr:grpSpPr>
        <xdr:sp macro="" textlink="">
          <xdr:nvSpPr>
            <xdr:cNvPr id="4648647" name="Rectangle 77">
              <a:extLst>
                <a:ext uri="{FF2B5EF4-FFF2-40B4-BE49-F238E27FC236}">
                  <a16:creationId xmlns:a16="http://schemas.microsoft.com/office/drawing/2014/main" id="{B074D839-C1C7-485B-82B7-52D015B810BF}"/>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48" name="Rectangle 78">
              <a:extLst>
                <a:ext uri="{FF2B5EF4-FFF2-40B4-BE49-F238E27FC236}">
                  <a16:creationId xmlns:a16="http://schemas.microsoft.com/office/drawing/2014/main" id="{2C2E211B-5821-400C-9363-A6B7D52027E3}"/>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15</xdr:col>
      <xdr:colOff>85725</xdr:colOff>
      <xdr:row>119</xdr:row>
      <xdr:rowOff>104775</xdr:rowOff>
    </xdr:from>
    <xdr:to>
      <xdr:col>16</xdr:col>
      <xdr:colOff>76200</xdr:colOff>
      <xdr:row>121</xdr:row>
      <xdr:rowOff>152400</xdr:rowOff>
    </xdr:to>
    <xdr:sp macro="" textlink="">
      <xdr:nvSpPr>
        <xdr:cNvPr id="4648592" name="Rectangle 104">
          <a:extLst>
            <a:ext uri="{FF2B5EF4-FFF2-40B4-BE49-F238E27FC236}">
              <a16:creationId xmlns:a16="http://schemas.microsoft.com/office/drawing/2014/main" id="{F882DBA4-4432-4FA5-8F22-53ECB5009A8D}"/>
            </a:ext>
          </a:extLst>
        </xdr:cNvPr>
        <xdr:cNvSpPr>
          <a:spLocks noChangeArrowheads="1"/>
        </xdr:cNvSpPr>
      </xdr:nvSpPr>
      <xdr:spPr bwMode="auto">
        <a:xfrm>
          <a:off x="5010150" y="19754850"/>
          <a:ext cx="390525" cy="390525"/>
        </a:xfrm>
        <a:prstGeom prst="rect">
          <a:avLst/>
        </a:prstGeom>
        <a:solidFill>
          <a:srgbClr val="FFFFFF"/>
        </a:solidFill>
        <a:ln w="9525" algn="ctr">
          <a:solidFill>
            <a:srgbClr val="000000"/>
          </a:solidFill>
          <a:round/>
          <a:headEnd/>
          <a:tailEnd/>
        </a:ln>
      </xdr:spPr>
    </xdr:sp>
    <xdr:clientData/>
  </xdr:twoCellAnchor>
  <xdr:twoCellAnchor>
    <xdr:from>
      <xdr:col>15</xdr:col>
      <xdr:colOff>123825</xdr:colOff>
      <xdr:row>124</xdr:row>
      <xdr:rowOff>0</xdr:rowOff>
    </xdr:from>
    <xdr:to>
      <xdr:col>16</xdr:col>
      <xdr:colOff>104775</xdr:colOff>
      <xdr:row>126</xdr:row>
      <xdr:rowOff>47625</xdr:rowOff>
    </xdr:to>
    <xdr:sp macro="" textlink="">
      <xdr:nvSpPr>
        <xdr:cNvPr id="4648593" name="Rectangle 105">
          <a:extLst>
            <a:ext uri="{FF2B5EF4-FFF2-40B4-BE49-F238E27FC236}">
              <a16:creationId xmlns:a16="http://schemas.microsoft.com/office/drawing/2014/main" id="{BC193062-9B61-4EB9-826C-E890A690D10A}"/>
            </a:ext>
          </a:extLst>
        </xdr:cNvPr>
        <xdr:cNvSpPr>
          <a:spLocks noChangeArrowheads="1"/>
        </xdr:cNvSpPr>
      </xdr:nvSpPr>
      <xdr:spPr bwMode="auto">
        <a:xfrm>
          <a:off x="5048250" y="20507325"/>
          <a:ext cx="381000" cy="390525"/>
        </a:xfrm>
        <a:prstGeom prst="rect">
          <a:avLst/>
        </a:prstGeom>
        <a:solidFill>
          <a:srgbClr val="FFFFFF"/>
        </a:solidFill>
        <a:ln w="9525" algn="ctr">
          <a:solidFill>
            <a:srgbClr val="000000"/>
          </a:solidFill>
          <a:round/>
          <a:headEnd/>
          <a:tailEnd/>
        </a:ln>
      </xdr:spPr>
    </xdr:sp>
    <xdr:clientData/>
  </xdr:twoCellAnchor>
  <xdr:twoCellAnchor>
    <xdr:from>
      <xdr:col>15</xdr:col>
      <xdr:colOff>85725</xdr:colOff>
      <xdr:row>132</xdr:row>
      <xdr:rowOff>57150</xdr:rowOff>
    </xdr:from>
    <xdr:to>
      <xdr:col>16</xdr:col>
      <xdr:colOff>76200</xdr:colOff>
      <xdr:row>134</xdr:row>
      <xdr:rowOff>95250</xdr:rowOff>
    </xdr:to>
    <xdr:sp macro="" textlink="">
      <xdr:nvSpPr>
        <xdr:cNvPr id="4648594" name="Rectangle 107">
          <a:extLst>
            <a:ext uri="{FF2B5EF4-FFF2-40B4-BE49-F238E27FC236}">
              <a16:creationId xmlns:a16="http://schemas.microsoft.com/office/drawing/2014/main" id="{93DC7954-196B-470E-8E46-EDA5745309A5}"/>
            </a:ext>
          </a:extLst>
        </xdr:cNvPr>
        <xdr:cNvSpPr>
          <a:spLocks noChangeArrowheads="1"/>
        </xdr:cNvSpPr>
      </xdr:nvSpPr>
      <xdr:spPr bwMode="auto">
        <a:xfrm>
          <a:off x="5010150" y="21936075"/>
          <a:ext cx="390525" cy="381000"/>
        </a:xfrm>
        <a:prstGeom prst="rect">
          <a:avLst/>
        </a:prstGeom>
        <a:solidFill>
          <a:srgbClr val="FFFFFF"/>
        </a:solidFill>
        <a:ln w="9525" algn="ctr">
          <a:solidFill>
            <a:srgbClr val="000000"/>
          </a:solidFill>
          <a:round/>
          <a:headEnd/>
          <a:tailEnd/>
        </a:ln>
      </xdr:spPr>
    </xdr:sp>
    <xdr:clientData/>
  </xdr:twoCellAnchor>
  <xdr:twoCellAnchor>
    <xdr:from>
      <xdr:col>26</xdr:col>
      <xdr:colOff>57150</xdr:colOff>
      <xdr:row>94</xdr:row>
      <xdr:rowOff>19050</xdr:rowOff>
    </xdr:from>
    <xdr:to>
      <xdr:col>26</xdr:col>
      <xdr:colOff>371475</xdr:colOff>
      <xdr:row>96</xdr:row>
      <xdr:rowOff>0</xdr:rowOff>
    </xdr:to>
    <xdr:sp macro="" textlink="">
      <xdr:nvSpPr>
        <xdr:cNvPr id="4648595" name="Rectangle 108">
          <a:extLst>
            <a:ext uri="{FF2B5EF4-FFF2-40B4-BE49-F238E27FC236}">
              <a16:creationId xmlns:a16="http://schemas.microsoft.com/office/drawing/2014/main" id="{63269BD5-6B19-430C-A5C8-E5DBD7EDA10C}"/>
            </a:ext>
          </a:extLst>
        </xdr:cNvPr>
        <xdr:cNvSpPr>
          <a:spLocks noChangeArrowheads="1"/>
        </xdr:cNvSpPr>
      </xdr:nvSpPr>
      <xdr:spPr bwMode="auto">
        <a:xfrm>
          <a:off x="8696325" y="15382875"/>
          <a:ext cx="314325" cy="323850"/>
        </a:xfrm>
        <a:prstGeom prst="rect">
          <a:avLst/>
        </a:prstGeom>
        <a:solidFill>
          <a:srgbClr val="FFFFFF"/>
        </a:solidFill>
        <a:ln w="9525" algn="ctr">
          <a:solidFill>
            <a:srgbClr val="000000"/>
          </a:solidFill>
          <a:round/>
          <a:headEnd/>
          <a:tailEnd/>
        </a:ln>
      </xdr:spPr>
    </xdr:sp>
    <xdr:clientData/>
  </xdr:twoCellAnchor>
  <xdr:twoCellAnchor>
    <xdr:from>
      <xdr:col>24</xdr:col>
      <xdr:colOff>266700</xdr:colOff>
      <xdr:row>103</xdr:row>
      <xdr:rowOff>0</xdr:rowOff>
    </xdr:from>
    <xdr:to>
      <xdr:col>25</xdr:col>
      <xdr:colOff>285750</xdr:colOff>
      <xdr:row>104</xdr:row>
      <xdr:rowOff>47625</xdr:rowOff>
    </xdr:to>
    <xdr:sp macro="" textlink="">
      <xdr:nvSpPr>
        <xdr:cNvPr id="4648596" name="Rectangle 111">
          <a:extLst>
            <a:ext uri="{FF2B5EF4-FFF2-40B4-BE49-F238E27FC236}">
              <a16:creationId xmlns:a16="http://schemas.microsoft.com/office/drawing/2014/main" id="{A94E4AB5-377D-45C5-81D9-D662FBBCC9E6}"/>
            </a:ext>
          </a:extLst>
        </xdr:cNvPr>
        <xdr:cNvSpPr>
          <a:spLocks noChangeArrowheads="1"/>
        </xdr:cNvSpPr>
      </xdr:nvSpPr>
      <xdr:spPr bwMode="auto">
        <a:xfrm>
          <a:off x="8258175" y="16906875"/>
          <a:ext cx="342900" cy="219075"/>
        </a:xfrm>
        <a:prstGeom prst="rect">
          <a:avLst/>
        </a:prstGeom>
        <a:solidFill>
          <a:srgbClr val="FFFFFF"/>
        </a:solidFill>
        <a:ln w="9525" algn="ctr">
          <a:solidFill>
            <a:srgbClr val="000000"/>
          </a:solidFill>
          <a:round/>
          <a:headEnd/>
          <a:tailEnd/>
        </a:ln>
      </xdr:spPr>
    </xdr:sp>
    <xdr:clientData/>
  </xdr:twoCellAnchor>
  <xdr:twoCellAnchor>
    <xdr:from>
      <xdr:col>22</xdr:col>
      <xdr:colOff>9525</xdr:colOff>
      <xdr:row>106</xdr:row>
      <xdr:rowOff>0</xdr:rowOff>
    </xdr:from>
    <xdr:to>
      <xdr:col>24</xdr:col>
      <xdr:colOff>38100</xdr:colOff>
      <xdr:row>107</xdr:row>
      <xdr:rowOff>76200</xdr:rowOff>
    </xdr:to>
    <xdr:grpSp>
      <xdr:nvGrpSpPr>
        <xdr:cNvPr id="4648597" name="Groupe 114">
          <a:extLst>
            <a:ext uri="{FF2B5EF4-FFF2-40B4-BE49-F238E27FC236}">
              <a16:creationId xmlns:a16="http://schemas.microsoft.com/office/drawing/2014/main" id="{1D2074E0-02E2-4233-BE55-E54B96D61AF3}"/>
            </a:ext>
          </a:extLst>
        </xdr:cNvPr>
        <xdr:cNvGrpSpPr>
          <a:grpSpLocks/>
        </xdr:cNvGrpSpPr>
      </xdr:nvGrpSpPr>
      <xdr:grpSpPr bwMode="auto">
        <a:xfrm>
          <a:off x="7561140" y="17867923"/>
          <a:ext cx="951768" cy="237392"/>
          <a:chOff x="4429125" y="27365325"/>
          <a:chExt cx="781050" cy="371475"/>
        </a:xfrm>
      </xdr:grpSpPr>
      <xdr:sp macro="" textlink="">
        <xdr:nvSpPr>
          <xdr:cNvPr id="4648633" name="Rectangle 112">
            <a:extLst>
              <a:ext uri="{FF2B5EF4-FFF2-40B4-BE49-F238E27FC236}">
                <a16:creationId xmlns:a16="http://schemas.microsoft.com/office/drawing/2014/main" id="{3CDCFECF-6BC5-457D-AEC4-588B2A725928}"/>
              </a:ext>
            </a:extLst>
          </xdr:cNvPr>
          <xdr:cNvSpPr>
            <a:spLocks noChangeArrowheads="1"/>
          </xdr:cNvSpPr>
        </xdr:nvSpPr>
        <xdr:spPr bwMode="auto">
          <a:xfrm>
            <a:off x="4429125" y="27365325"/>
            <a:ext cx="400871" cy="371475"/>
          </a:xfrm>
          <a:prstGeom prst="rect">
            <a:avLst/>
          </a:prstGeom>
          <a:solidFill>
            <a:srgbClr val="FFFFFF"/>
          </a:solidFill>
          <a:ln w="9525" algn="ctr">
            <a:solidFill>
              <a:srgbClr val="000000"/>
            </a:solidFill>
            <a:round/>
            <a:headEnd/>
            <a:tailEnd/>
          </a:ln>
        </xdr:spPr>
      </xdr:sp>
      <xdr:sp macro="" textlink="">
        <xdr:nvSpPr>
          <xdr:cNvPr id="4648634" name="Rectangle 113">
            <a:extLst>
              <a:ext uri="{FF2B5EF4-FFF2-40B4-BE49-F238E27FC236}">
                <a16:creationId xmlns:a16="http://schemas.microsoft.com/office/drawing/2014/main" id="{0FC6F255-350B-4B8F-8638-4349EEF75786}"/>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25</xdr:col>
      <xdr:colOff>0</xdr:colOff>
      <xdr:row>118</xdr:row>
      <xdr:rowOff>4186</xdr:rowOff>
    </xdr:from>
    <xdr:to>
      <xdr:col>26</xdr:col>
      <xdr:colOff>104775</xdr:colOff>
      <xdr:row>118</xdr:row>
      <xdr:rowOff>152399</xdr:rowOff>
    </xdr:to>
    <xdr:sp macro="" textlink="">
      <xdr:nvSpPr>
        <xdr:cNvPr id="4648598" name="Rectangle 115">
          <a:extLst>
            <a:ext uri="{FF2B5EF4-FFF2-40B4-BE49-F238E27FC236}">
              <a16:creationId xmlns:a16="http://schemas.microsoft.com/office/drawing/2014/main" id="{02FDE7EB-B40B-4FA9-BC5A-C36CA1725A4B}"/>
            </a:ext>
          </a:extLst>
        </xdr:cNvPr>
        <xdr:cNvSpPr>
          <a:spLocks noChangeArrowheads="1"/>
        </xdr:cNvSpPr>
      </xdr:nvSpPr>
      <xdr:spPr bwMode="auto">
        <a:xfrm>
          <a:off x="8913725" y="19489614"/>
          <a:ext cx="448094" cy="148213"/>
        </a:xfrm>
        <a:prstGeom prst="rect">
          <a:avLst/>
        </a:prstGeom>
        <a:solidFill>
          <a:srgbClr val="FFFFFF"/>
        </a:solidFill>
        <a:ln w="9525" algn="ctr">
          <a:solidFill>
            <a:srgbClr val="000000"/>
          </a:solidFill>
          <a:round/>
          <a:headEnd/>
          <a:tailEnd/>
        </a:ln>
      </xdr:spPr>
    </xdr:sp>
    <xdr:clientData/>
  </xdr:twoCellAnchor>
  <xdr:twoCellAnchor>
    <xdr:from>
      <xdr:col>24</xdr:col>
      <xdr:colOff>38100</xdr:colOff>
      <xdr:row>122</xdr:row>
      <xdr:rowOff>47625</xdr:rowOff>
    </xdr:from>
    <xdr:to>
      <xdr:col>25</xdr:col>
      <xdr:colOff>152400</xdr:colOff>
      <xdr:row>124</xdr:row>
      <xdr:rowOff>85725</xdr:rowOff>
    </xdr:to>
    <xdr:sp macro="" textlink="">
      <xdr:nvSpPr>
        <xdr:cNvPr id="4648599" name="Rectangle 115">
          <a:extLst>
            <a:ext uri="{FF2B5EF4-FFF2-40B4-BE49-F238E27FC236}">
              <a16:creationId xmlns:a16="http://schemas.microsoft.com/office/drawing/2014/main" id="{DBB5C915-A467-498D-A940-AE4B8F522A21}"/>
            </a:ext>
          </a:extLst>
        </xdr:cNvPr>
        <xdr:cNvSpPr>
          <a:spLocks noChangeArrowheads="1"/>
        </xdr:cNvSpPr>
      </xdr:nvSpPr>
      <xdr:spPr bwMode="auto">
        <a:xfrm>
          <a:off x="8029575" y="20212050"/>
          <a:ext cx="438150" cy="381000"/>
        </a:xfrm>
        <a:prstGeom prst="rect">
          <a:avLst/>
        </a:prstGeom>
        <a:solidFill>
          <a:srgbClr val="FFFFFF"/>
        </a:solidFill>
        <a:ln w="9525" algn="ctr">
          <a:solidFill>
            <a:srgbClr val="000000"/>
          </a:solidFill>
          <a:round/>
          <a:headEnd/>
          <a:tailEnd/>
        </a:ln>
      </xdr:spPr>
    </xdr:sp>
    <xdr:clientData/>
  </xdr:twoCellAnchor>
  <xdr:twoCellAnchor>
    <xdr:from>
      <xdr:col>5</xdr:col>
      <xdr:colOff>9525</xdr:colOff>
      <xdr:row>52</xdr:row>
      <xdr:rowOff>76200</xdr:rowOff>
    </xdr:from>
    <xdr:to>
      <xdr:col>6</xdr:col>
      <xdr:colOff>47625</xdr:colOff>
      <xdr:row>54</xdr:row>
      <xdr:rowOff>104775</xdr:rowOff>
    </xdr:to>
    <xdr:sp macro="" textlink="">
      <xdr:nvSpPr>
        <xdr:cNvPr id="4648601" name="Rectangle 160">
          <a:extLst>
            <a:ext uri="{FF2B5EF4-FFF2-40B4-BE49-F238E27FC236}">
              <a16:creationId xmlns:a16="http://schemas.microsoft.com/office/drawing/2014/main" id="{455A2F86-F616-4E79-975E-4B1D63552480}"/>
            </a:ext>
          </a:extLst>
        </xdr:cNvPr>
        <xdr:cNvSpPr>
          <a:spLocks noChangeArrowheads="1"/>
        </xdr:cNvSpPr>
      </xdr:nvSpPr>
      <xdr:spPr bwMode="auto">
        <a:xfrm>
          <a:off x="1457325" y="8924925"/>
          <a:ext cx="381000" cy="371475"/>
        </a:xfrm>
        <a:prstGeom prst="rect">
          <a:avLst/>
        </a:prstGeom>
        <a:solidFill>
          <a:srgbClr val="FFFFFF"/>
        </a:solidFill>
        <a:ln w="9525" algn="ctr">
          <a:solidFill>
            <a:srgbClr val="000000"/>
          </a:solidFill>
          <a:round/>
          <a:headEnd/>
          <a:tailEnd/>
        </a:ln>
      </xdr:spPr>
    </xdr:sp>
    <xdr:clientData/>
  </xdr:twoCellAnchor>
  <xdr:twoCellAnchor>
    <xdr:from>
      <xdr:col>4</xdr:col>
      <xdr:colOff>266700</xdr:colOff>
      <xdr:row>115</xdr:row>
      <xdr:rowOff>123825</xdr:rowOff>
    </xdr:from>
    <xdr:to>
      <xdr:col>5</xdr:col>
      <xdr:colOff>295275</xdr:colOff>
      <xdr:row>118</xdr:row>
      <xdr:rowOff>0</xdr:rowOff>
    </xdr:to>
    <xdr:sp macro="" textlink="">
      <xdr:nvSpPr>
        <xdr:cNvPr id="4648603" name="Rectangle 160">
          <a:extLst>
            <a:ext uri="{FF2B5EF4-FFF2-40B4-BE49-F238E27FC236}">
              <a16:creationId xmlns:a16="http://schemas.microsoft.com/office/drawing/2014/main" id="{F3F1682D-43ED-408F-80F3-6C67510A3C4E}"/>
            </a:ext>
          </a:extLst>
        </xdr:cNvPr>
        <xdr:cNvSpPr>
          <a:spLocks noChangeArrowheads="1"/>
        </xdr:cNvSpPr>
      </xdr:nvSpPr>
      <xdr:spPr bwMode="auto">
        <a:xfrm>
          <a:off x="1390650" y="19088100"/>
          <a:ext cx="352425" cy="390525"/>
        </a:xfrm>
        <a:prstGeom prst="rect">
          <a:avLst/>
        </a:prstGeom>
        <a:solidFill>
          <a:srgbClr val="FFFFFF"/>
        </a:solidFill>
        <a:ln w="9525" algn="ctr">
          <a:solidFill>
            <a:srgbClr val="000000"/>
          </a:solidFill>
          <a:round/>
          <a:headEnd/>
          <a:tailEnd/>
        </a:ln>
      </xdr:spPr>
    </xdr:sp>
    <xdr:clientData/>
  </xdr:twoCellAnchor>
  <xdr:twoCellAnchor>
    <xdr:from>
      <xdr:col>7</xdr:col>
      <xdr:colOff>228600</xdr:colOff>
      <xdr:row>131</xdr:row>
      <xdr:rowOff>161925</xdr:rowOff>
    </xdr:from>
    <xdr:to>
      <xdr:col>8</xdr:col>
      <xdr:colOff>209550</xdr:colOff>
      <xdr:row>133</xdr:row>
      <xdr:rowOff>123825</xdr:rowOff>
    </xdr:to>
    <xdr:sp macro="" textlink="">
      <xdr:nvSpPr>
        <xdr:cNvPr id="4648604" name="Rectangle 160">
          <a:extLst>
            <a:ext uri="{FF2B5EF4-FFF2-40B4-BE49-F238E27FC236}">
              <a16:creationId xmlns:a16="http://schemas.microsoft.com/office/drawing/2014/main" id="{E7A9D5D8-5D82-4DE9-9F9A-8A0892ED1C88}"/>
            </a:ext>
          </a:extLst>
        </xdr:cNvPr>
        <xdr:cNvSpPr>
          <a:spLocks noChangeArrowheads="1"/>
        </xdr:cNvSpPr>
      </xdr:nvSpPr>
      <xdr:spPr bwMode="auto">
        <a:xfrm>
          <a:off x="2352675" y="21869400"/>
          <a:ext cx="390525" cy="304800"/>
        </a:xfrm>
        <a:prstGeom prst="rect">
          <a:avLst/>
        </a:prstGeom>
        <a:solidFill>
          <a:srgbClr val="FFFFFF"/>
        </a:solidFill>
        <a:ln w="9525" algn="ctr">
          <a:solidFill>
            <a:srgbClr val="000000"/>
          </a:solidFill>
          <a:round/>
          <a:headEnd/>
          <a:tailEnd/>
        </a:ln>
      </xdr:spPr>
    </xdr:sp>
    <xdr:clientData/>
  </xdr:twoCellAnchor>
  <xdr:twoCellAnchor>
    <xdr:from>
      <xdr:col>13</xdr:col>
      <xdr:colOff>266700</xdr:colOff>
      <xdr:row>114</xdr:row>
      <xdr:rowOff>133350</xdr:rowOff>
    </xdr:from>
    <xdr:to>
      <xdr:col>14</xdr:col>
      <xdr:colOff>304800</xdr:colOff>
      <xdr:row>117</xdr:row>
      <xdr:rowOff>0</xdr:rowOff>
    </xdr:to>
    <xdr:sp macro="" textlink="">
      <xdr:nvSpPr>
        <xdr:cNvPr id="4648605" name="Rectangle 160">
          <a:extLst>
            <a:ext uri="{FF2B5EF4-FFF2-40B4-BE49-F238E27FC236}">
              <a16:creationId xmlns:a16="http://schemas.microsoft.com/office/drawing/2014/main" id="{37E8E452-D7C8-4856-8390-52F4C519F26D}"/>
            </a:ext>
          </a:extLst>
        </xdr:cNvPr>
        <xdr:cNvSpPr>
          <a:spLocks noChangeArrowheads="1"/>
        </xdr:cNvSpPr>
      </xdr:nvSpPr>
      <xdr:spPr bwMode="auto">
        <a:xfrm>
          <a:off x="4429125" y="18926175"/>
          <a:ext cx="400050" cy="381000"/>
        </a:xfrm>
        <a:prstGeom prst="rect">
          <a:avLst/>
        </a:prstGeom>
        <a:solidFill>
          <a:srgbClr val="FFFFFF"/>
        </a:solidFill>
        <a:ln w="9525" algn="ctr">
          <a:solidFill>
            <a:srgbClr val="000000"/>
          </a:solidFill>
          <a:round/>
          <a:headEnd/>
          <a:tailEnd/>
        </a:ln>
      </xdr:spPr>
    </xdr:sp>
    <xdr:clientData/>
  </xdr:twoCellAnchor>
  <xdr:twoCellAnchor>
    <xdr:from>
      <xdr:col>22</xdr:col>
      <xdr:colOff>390525</xdr:colOff>
      <xdr:row>111</xdr:row>
      <xdr:rowOff>57150</xdr:rowOff>
    </xdr:from>
    <xdr:to>
      <xdr:col>24</xdr:col>
      <xdr:colOff>38100</xdr:colOff>
      <xdr:row>113</xdr:row>
      <xdr:rowOff>114300</xdr:rowOff>
    </xdr:to>
    <xdr:sp macro="" textlink="">
      <xdr:nvSpPr>
        <xdr:cNvPr id="4648606" name="Rectangle 115">
          <a:extLst>
            <a:ext uri="{FF2B5EF4-FFF2-40B4-BE49-F238E27FC236}">
              <a16:creationId xmlns:a16="http://schemas.microsoft.com/office/drawing/2014/main" id="{5BC3C188-BFA8-45E0-A40B-808E39E36D18}"/>
            </a:ext>
          </a:extLst>
        </xdr:cNvPr>
        <xdr:cNvSpPr>
          <a:spLocks noChangeArrowheads="1"/>
        </xdr:cNvSpPr>
      </xdr:nvSpPr>
      <xdr:spPr bwMode="auto">
        <a:xfrm>
          <a:off x="7581900" y="18335625"/>
          <a:ext cx="447675" cy="400050"/>
        </a:xfrm>
        <a:prstGeom prst="rect">
          <a:avLst/>
        </a:prstGeom>
        <a:solidFill>
          <a:srgbClr val="FFFFFF"/>
        </a:solidFill>
        <a:ln w="9525" algn="ctr">
          <a:solidFill>
            <a:srgbClr val="000000"/>
          </a:solidFill>
          <a:round/>
          <a:headEnd/>
          <a:tailEnd/>
        </a:ln>
      </xdr:spPr>
    </xdr:sp>
    <xdr:clientData/>
  </xdr:twoCellAnchor>
  <xdr:twoCellAnchor>
    <xdr:from>
      <xdr:col>24</xdr:col>
      <xdr:colOff>257175</xdr:colOff>
      <xdr:row>130</xdr:row>
      <xdr:rowOff>161925</xdr:rowOff>
    </xdr:from>
    <xdr:to>
      <xdr:col>25</xdr:col>
      <xdr:colOff>304800</xdr:colOff>
      <xdr:row>133</xdr:row>
      <xdr:rowOff>38100</xdr:rowOff>
    </xdr:to>
    <xdr:sp macro="" textlink="">
      <xdr:nvSpPr>
        <xdr:cNvPr id="4648607" name="Rectangle 115">
          <a:extLst>
            <a:ext uri="{FF2B5EF4-FFF2-40B4-BE49-F238E27FC236}">
              <a16:creationId xmlns:a16="http://schemas.microsoft.com/office/drawing/2014/main" id="{BC84736A-EFAE-4AF8-BE4F-BDC839FE56D1}"/>
            </a:ext>
          </a:extLst>
        </xdr:cNvPr>
        <xdr:cNvSpPr>
          <a:spLocks noChangeArrowheads="1"/>
        </xdr:cNvSpPr>
      </xdr:nvSpPr>
      <xdr:spPr bwMode="auto">
        <a:xfrm>
          <a:off x="8248650" y="21697950"/>
          <a:ext cx="371475" cy="390525"/>
        </a:xfrm>
        <a:prstGeom prst="rect">
          <a:avLst/>
        </a:prstGeom>
        <a:solidFill>
          <a:srgbClr val="FFFFFF"/>
        </a:solidFill>
        <a:ln w="9525" algn="ctr">
          <a:solidFill>
            <a:srgbClr val="000000"/>
          </a:solidFill>
          <a:round/>
          <a:headEnd/>
          <a:tailEnd/>
        </a:ln>
      </xdr:spPr>
    </xdr:sp>
    <xdr:clientData/>
  </xdr:twoCellAnchor>
  <xdr:twoCellAnchor>
    <xdr:from>
      <xdr:col>14</xdr:col>
      <xdr:colOff>85725</xdr:colOff>
      <xdr:row>5</xdr:row>
      <xdr:rowOff>161925</xdr:rowOff>
    </xdr:from>
    <xdr:to>
      <xdr:col>15</xdr:col>
      <xdr:colOff>180975</xdr:colOff>
      <xdr:row>7</xdr:row>
      <xdr:rowOff>123825</xdr:rowOff>
    </xdr:to>
    <xdr:sp macro="" textlink="">
      <xdr:nvSpPr>
        <xdr:cNvPr id="4648608" name="Rectangle 257">
          <a:extLst>
            <a:ext uri="{FF2B5EF4-FFF2-40B4-BE49-F238E27FC236}">
              <a16:creationId xmlns:a16="http://schemas.microsoft.com/office/drawing/2014/main" id="{5F3A6232-C3A7-4148-B945-10E67C3168CD}"/>
            </a:ext>
          </a:extLst>
        </xdr:cNvPr>
        <xdr:cNvSpPr>
          <a:spLocks noChangeArrowheads="1"/>
        </xdr:cNvSpPr>
      </xdr:nvSpPr>
      <xdr:spPr bwMode="auto">
        <a:xfrm>
          <a:off x="4610100" y="1038225"/>
          <a:ext cx="495300" cy="304800"/>
        </a:xfrm>
        <a:prstGeom prst="rect">
          <a:avLst/>
        </a:prstGeom>
        <a:solidFill>
          <a:srgbClr val="FFFFFF"/>
        </a:solidFill>
        <a:ln w="9525" algn="ctr">
          <a:solidFill>
            <a:srgbClr val="000000"/>
          </a:solidFill>
          <a:round/>
          <a:headEnd/>
          <a:tailEnd/>
        </a:ln>
      </xdr:spPr>
    </xdr:sp>
    <xdr:clientData/>
  </xdr:twoCellAnchor>
  <xdr:twoCellAnchor>
    <xdr:from>
      <xdr:col>15</xdr:col>
      <xdr:colOff>142875</xdr:colOff>
      <xdr:row>27</xdr:row>
      <xdr:rowOff>152400</xdr:rowOff>
    </xdr:from>
    <xdr:to>
      <xdr:col>16</xdr:col>
      <xdr:colOff>209550</xdr:colOff>
      <xdr:row>30</xdr:row>
      <xdr:rowOff>47625</xdr:rowOff>
    </xdr:to>
    <xdr:sp macro="" textlink="">
      <xdr:nvSpPr>
        <xdr:cNvPr id="4648609" name="Rectangle 214">
          <a:extLst>
            <a:ext uri="{FF2B5EF4-FFF2-40B4-BE49-F238E27FC236}">
              <a16:creationId xmlns:a16="http://schemas.microsoft.com/office/drawing/2014/main" id="{84650930-380B-4DFE-AC38-2F4150190144}"/>
            </a:ext>
            <a:ext uri="{147F2762-F138-4A5C-976F-8EAC2B608ADB}">
              <a16:predDERef xmlns:a16="http://schemas.microsoft.com/office/drawing/2014/main" pred="{5F3A6232-C3A7-4148-B945-10E67C3168CD}"/>
            </a:ext>
          </a:extLst>
        </xdr:cNvPr>
        <xdr:cNvSpPr>
          <a:spLocks noChangeArrowheads="1"/>
        </xdr:cNvSpPr>
      </xdr:nvSpPr>
      <xdr:spPr bwMode="auto">
        <a:xfrm>
          <a:off x="5067300" y="4733925"/>
          <a:ext cx="466725" cy="409575"/>
        </a:xfrm>
        <a:prstGeom prst="rect">
          <a:avLst/>
        </a:prstGeom>
        <a:solidFill>
          <a:srgbClr val="FFFFFF"/>
        </a:solidFill>
        <a:ln w="9525" algn="ctr">
          <a:solidFill>
            <a:srgbClr val="000000"/>
          </a:solidFill>
          <a:round/>
          <a:headEnd/>
          <a:tailEnd/>
        </a:ln>
      </xdr:spPr>
    </xdr:sp>
    <xdr:clientData/>
  </xdr:twoCellAnchor>
  <xdr:twoCellAnchor>
    <xdr:from>
      <xdr:col>16</xdr:col>
      <xdr:colOff>123825</xdr:colOff>
      <xdr:row>33</xdr:row>
      <xdr:rowOff>19050</xdr:rowOff>
    </xdr:from>
    <xdr:to>
      <xdr:col>17</xdr:col>
      <xdr:colOff>133350</xdr:colOff>
      <xdr:row>35</xdr:row>
      <xdr:rowOff>85725</xdr:rowOff>
    </xdr:to>
    <xdr:sp macro="" textlink="">
      <xdr:nvSpPr>
        <xdr:cNvPr id="4648610" name="Rectangle 214">
          <a:extLst>
            <a:ext uri="{FF2B5EF4-FFF2-40B4-BE49-F238E27FC236}">
              <a16:creationId xmlns:a16="http://schemas.microsoft.com/office/drawing/2014/main" id="{0D1D93D7-DA3B-4C38-847E-470A28863645}"/>
            </a:ext>
          </a:extLst>
        </xdr:cNvPr>
        <xdr:cNvSpPr>
          <a:spLocks noChangeArrowheads="1"/>
        </xdr:cNvSpPr>
      </xdr:nvSpPr>
      <xdr:spPr bwMode="auto">
        <a:xfrm>
          <a:off x="5448300" y="5619750"/>
          <a:ext cx="371475" cy="409575"/>
        </a:xfrm>
        <a:prstGeom prst="rect">
          <a:avLst/>
        </a:prstGeom>
        <a:solidFill>
          <a:srgbClr val="FFFFFF"/>
        </a:solidFill>
        <a:ln w="9525" algn="ctr">
          <a:solidFill>
            <a:srgbClr val="000000"/>
          </a:solidFill>
          <a:round/>
          <a:headEnd/>
          <a:tailEnd/>
        </a:ln>
      </xdr:spPr>
    </xdr:sp>
    <xdr:clientData/>
  </xdr:twoCellAnchor>
  <xdr:twoCellAnchor>
    <xdr:from>
      <xdr:col>16</xdr:col>
      <xdr:colOff>304800</xdr:colOff>
      <xdr:row>41</xdr:row>
      <xdr:rowOff>0</xdr:rowOff>
    </xdr:from>
    <xdr:to>
      <xdr:col>17</xdr:col>
      <xdr:colOff>333375</xdr:colOff>
      <xdr:row>43</xdr:row>
      <xdr:rowOff>66675</xdr:rowOff>
    </xdr:to>
    <xdr:sp macro="" textlink="">
      <xdr:nvSpPr>
        <xdr:cNvPr id="4648611" name="Rectangle 214">
          <a:extLst>
            <a:ext uri="{FF2B5EF4-FFF2-40B4-BE49-F238E27FC236}">
              <a16:creationId xmlns:a16="http://schemas.microsoft.com/office/drawing/2014/main" id="{027180D2-7305-4F9E-B1D1-EF656035800E}"/>
            </a:ext>
          </a:extLst>
        </xdr:cNvPr>
        <xdr:cNvSpPr>
          <a:spLocks noChangeArrowheads="1"/>
        </xdr:cNvSpPr>
      </xdr:nvSpPr>
      <xdr:spPr bwMode="auto">
        <a:xfrm>
          <a:off x="5629275" y="6962775"/>
          <a:ext cx="390525" cy="409575"/>
        </a:xfrm>
        <a:prstGeom prst="rect">
          <a:avLst/>
        </a:prstGeom>
        <a:solidFill>
          <a:srgbClr val="FFFFFF"/>
        </a:solidFill>
        <a:ln w="9525" algn="ctr">
          <a:solidFill>
            <a:srgbClr val="000000"/>
          </a:solidFill>
          <a:round/>
          <a:headEnd/>
          <a:tailEnd/>
        </a:ln>
      </xdr:spPr>
    </xdr:sp>
    <xdr:clientData/>
  </xdr:twoCellAnchor>
  <xdr:twoCellAnchor>
    <xdr:from>
      <xdr:col>13</xdr:col>
      <xdr:colOff>323850</xdr:colOff>
      <xdr:row>22</xdr:row>
      <xdr:rowOff>28575</xdr:rowOff>
    </xdr:from>
    <xdr:to>
      <xdr:col>14</xdr:col>
      <xdr:colOff>342900</xdr:colOff>
      <xdr:row>24</xdr:row>
      <xdr:rowOff>95250</xdr:rowOff>
    </xdr:to>
    <xdr:sp macro="" textlink="">
      <xdr:nvSpPr>
        <xdr:cNvPr id="4648612" name="Rectangle 214">
          <a:extLst>
            <a:ext uri="{FF2B5EF4-FFF2-40B4-BE49-F238E27FC236}">
              <a16:creationId xmlns:a16="http://schemas.microsoft.com/office/drawing/2014/main" id="{879AA2B8-F0F8-4A2B-BF35-5AED509E5133}"/>
            </a:ext>
            <a:ext uri="{147F2762-F138-4A5C-976F-8EAC2B608ADB}">
              <a16:predDERef xmlns:a16="http://schemas.microsoft.com/office/drawing/2014/main" pred="{027180D2-7305-4F9E-B1D1-EF656035800E}"/>
            </a:ext>
          </a:extLst>
        </xdr:cNvPr>
        <xdr:cNvSpPr>
          <a:spLocks noChangeArrowheads="1"/>
        </xdr:cNvSpPr>
      </xdr:nvSpPr>
      <xdr:spPr bwMode="auto">
        <a:xfrm>
          <a:off x="4486275" y="3752850"/>
          <a:ext cx="381000" cy="409575"/>
        </a:xfrm>
        <a:prstGeom prst="rect">
          <a:avLst/>
        </a:prstGeom>
        <a:solidFill>
          <a:srgbClr val="FFFFFF"/>
        </a:solidFill>
        <a:ln w="9525" algn="ctr">
          <a:solidFill>
            <a:srgbClr val="000000"/>
          </a:solidFill>
          <a:round/>
          <a:headEnd/>
          <a:tailEnd/>
        </a:ln>
      </xdr:spPr>
    </xdr:sp>
    <xdr:clientData/>
  </xdr:twoCellAnchor>
  <xdr:twoCellAnchor>
    <xdr:from>
      <xdr:col>15</xdr:col>
      <xdr:colOff>142875</xdr:colOff>
      <xdr:row>17</xdr:row>
      <xdr:rowOff>152400</xdr:rowOff>
    </xdr:from>
    <xdr:to>
      <xdr:col>17</xdr:col>
      <xdr:colOff>76200</xdr:colOff>
      <xdr:row>19</xdr:row>
      <xdr:rowOff>38100</xdr:rowOff>
    </xdr:to>
    <xdr:grpSp>
      <xdr:nvGrpSpPr>
        <xdr:cNvPr id="4648613" name="Groupe 3">
          <a:extLst>
            <a:ext uri="{FF2B5EF4-FFF2-40B4-BE49-F238E27FC236}">
              <a16:creationId xmlns:a16="http://schemas.microsoft.com/office/drawing/2014/main" id="{A4DC5C6E-1919-4B46-89A6-2DA48D6A6B71}"/>
            </a:ext>
          </a:extLst>
        </xdr:cNvPr>
        <xdr:cNvGrpSpPr>
          <a:grpSpLocks/>
        </xdr:cNvGrpSpPr>
      </xdr:nvGrpSpPr>
      <xdr:grpSpPr bwMode="auto">
        <a:xfrm>
          <a:off x="5315683" y="3009900"/>
          <a:ext cx="734402" cy="217854"/>
          <a:chOff x="7343775" y="238125"/>
          <a:chExt cx="600075" cy="314325"/>
        </a:xfrm>
      </xdr:grpSpPr>
      <xdr:sp macro="" textlink="">
        <xdr:nvSpPr>
          <xdr:cNvPr id="4648631" name="Rectangle 1">
            <a:extLst>
              <a:ext uri="{FF2B5EF4-FFF2-40B4-BE49-F238E27FC236}">
                <a16:creationId xmlns:a16="http://schemas.microsoft.com/office/drawing/2014/main" id="{938FCECA-E0DD-4D56-AC18-E09FB2C92B2C}"/>
              </a:ext>
            </a:extLst>
          </xdr:cNvPr>
          <xdr:cNvSpPr>
            <a:spLocks noChangeArrowheads="1"/>
          </xdr:cNvSpPr>
        </xdr:nvSpPr>
        <xdr:spPr bwMode="auto">
          <a:xfrm>
            <a:off x="7343775" y="238125"/>
            <a:ext cx="285750" cy="314325"/>
          </a:xfrm>
          <a:prstGeom prst="rect">
            <a:avLst/>
          </a:prstGeom>
          <a:solidFill>
            <a:srgbClr val="FFFFFF"/>
          </a:solidFill>
          <a:ln w="9525" algn="ctr">
            <a:solidFill>
              <a:srgbClr val="000000"/>
            </a:solidFill>
            <a:round/>
            <a:headEnd/>
            <a:tailEnd/>
          </a:ln>
        </xdr:spPr>
      </xdr:sp>
      <xdr:sp macro="" textlink="">
        <xdr:nvSpPr>
          <xdr:cNvPr id="4648632" name="Rectangle 2">
            <a:extLst>
              <a:ext uri="{FF2B5EF4-FFF2-40B4-BE49-F238E27FC236}">
                <a16:creationId xmlns:a16="http://schemas.microsoft.com/office/drawing/2014/main" id="{6173D041-5B4A-41E9-AE53-73D0DA2985CB}"/>
              </a:ext>
            </a:extLst>
          </xdr:cNvPr>
          <xdr:cNvSpPr>
            <a:spLocks noChangeArrowheads="1"/>
          </xdr:cNvSpPr>
        </xdr:nvSpPr>
        <xdr:spPr bwMode="auto">
          <a:xfrm>
            <a:off x="7658100" y="238125"/>
            <a:ext cx="285750" cy="314325"/>
          </a:xfrm>
          <a:prstGeom prst="rect">
            <a:avLst/>
          </a:prstGeom>
          <a:solidFill>
            <a:srgbClr val="FFFFFF"/>
          </a:solidFill>
          <a:ln w="9525" algn="ctr">
            <a:solidFill>
              <a:srgbClr val="000000"/>
            </a:solidFill>
            <a:round/>
            <a:headEnd/>
            <a:tailEnd/>
          </a:ln>
        </xdr:spPr>
      </xdr:sp>
    </xdr:grpSp>
    <xdr:clientData/>
  </xdr:twoCellAnchor>
  <xdr:twoCellAnchor>
    <xdr:from>
      <xdr:col>15</xdr:col>
      <xdr:colOff>142875</xdr:colOff>
      <xdr:row>19</xdr:row>
      <xdr:rowOff>47625</xdr:rowOff>
    </xdr:from>
    <xdr:to>
      <xdr:col>17</xdr:col>
      <xdr:colOff>95250</xdr:colOff>
      <xdr:row>20</xdr:row>
      <xdr:rowOff>142875</xdr:rowOff>
    </xdr:to>
    <xdr:grpSp>
      <xdr:nvGrpSpPr>
        <xdr:cNvPr id="4648614" name="Groupe 3">
          <a:extLst>
            <a:ext uri="{FF2B5EF4-FFF2-40B4-BE49-F238E27FC236}">
              <a16:creationId xmlns:a16="http://schemas.microsoft.com/office/drawing/2014/main" id="{A3F29EB6-182F-4BD6-854A-07D25D697287}"/>
            </a:ext>
          </a:extLst>
        </xdr:cNvPr>
        <xdr:cNvGrpSpPr>
          <a:grpSpLocks/>
        </xdr:cNvGrpSpPr>
      </xdr:nvGrpSpPr>
      <xdr:grpSpPr bwMode="auto">
        <a:xfrm>
          <a:off x="5315683" y="3237279"/>
          <a:ext cx="753452" cy="266211"/>
          <a:chOff x="7343775" y="238125"/>
          <a:chExt cx="600075" cy="314325"/>
        </a:xfrm>
      </xdr:grpSpPr>
      <xdr:sp macro="" textlink="">
        <xdr:nvSpPr>
          <xdr:cNvPr id="4648629" name="Rectangle 1">
            <a:extLst>
              <a:ext uri="{FF2B5EF4-FFF2-40B4-BE49-F238E27FC236}">
                <a16:creationId xmlns:a16="http://schemas.microsoft.com/office/drawing/2014/main" id="{F9805798-EAF4-4A0C-9753-40F8951A226A}"/>
              </a:ext>
            </a:extLst>
          </xdr:cNvPr>
          <xdr:cNvSpPr>
            <a:spLocks noChangeArrowheads="1"/>
          </xdr:cNvSpPr>
        </xdr:nvSpPr>
        <xdr:spPr bwMode="auto">
          <a:xfrm>
            <a:off x="7343775" y="238125"/>
            <a:ext cx="285750" cy="314325"/>
          </a:xfrm>
          <a:prstGeom prst="rect">
            <a:avLst/>
          </a:prstGeom>
          <a:solidFill>
            <a:srgbClr val="FFFFFF"/>
          </a:solidFill>
          <a:ln w="9525" algn="ctr">
            <a:solidFill>
              <a:srgbClr val="000000"/>
            </a:solidFill>
            <a:round/>
            <a:headEnd/>
            <a:tailEnd/>
          </a:ln>
        </xdr:spPr>
      </xdr:sp>
      <xdr:sp macro="" textlink="">
        <xdr:nvSpPr>
          <xdr:cNvPr id="4648630" name="Rectangle 2">
            <a:extLst>
              <a:ext uri="{FF2B5EF4-FFF2-40B4-BE49-F238E27FC236}">
                <a16:creationId xmlns:a16="http://schemas.microsoft.com/office/drawing/2014/main" id="{9354723E-F35E-4664-8556-DA1308019367}"/>
              </a:ext>
            </a:extLst>
          </xdr:cNvPr>
          <xdr:cNvSpPr>
            <a:spLocks noChangeArrowheads="1"/>
          </xdr:cNvSpPr>
        </xdr:nvSpPr>
        <xdr:spPr bwMode="auto">
          <a:xfrm>
            <a:off x="7658100" y="238125"/>
            <a:ext cx="285750" cy="314325"/>
          </a:xfrm>
          <a:prstGeom prst="rect">
            <a:avLst/>
          </a:prstGeom>
          <a:solidFill>
            <a:srgbClr val="FFFFFF"/>
          </a:solidFill>
          <a:ln w="9525" algn="ctr">
            <a:solidFill>
              <a:srgbClr val="000000"/>
            </a:solidFill>
            <a:round/>
            <a:headEnd/>
            <a:tailEnd/>
          </a:ln>
        </xdr:spPr>
      </xdr:sp>
    </xdr:grpSp>
    <xdr:clientData/>
  </xdr:twoCellAnchor>
  <xdr:twoCellAnchor>
    <xdr:from>
      <xdr:col>23</xdr:col>
      <xdr:colOff>19050</xdr:colOff>
      <xdr:row>14</xdr:row>
      <xdr:rowOff>38100</xdr:rowOff>
    </xdr:from>
    <xdr:to>
      <xdr:col>23</xdr:col>
      <xdr:colOff>352425</xdr:colOff>
      <xdr:row>15</xdr:row>
      <xdr:rowOff>152400</xdr:rowOff>
    </xdr:to>
    <xdr:sp macro="" textlink="">
      <xdr:nvSpPr>
        <xdr:cNvPr id="4648615" name="Rectangle 216">
          <a:extLst>
            <a:ext uri="{FF2B5EF4-FFF2-40B4-BE49-F238E27FC236}">
              <a16:creationId xmlns:a16="http://schemas.microsoft.com/office/drawing/2014/main" id="{109213F4-E554-4C8F-B63C-B87B45A53945}"/>
            </a:ext>
          </a:extLst>
        </xdr:cNvPr>
        <xdr:cNvSpPr>
          <a:spLocks noChangeArrowheads="1"/>
        </xdr:cNvSpPr>
      </xdr:nvSpPr>
      <xdr:spPr bwMode="auto">
        <a:xfrm>
          <a:off x="7610475" y="2419350"/>
          <a:ext cx="333375" cy="276225"/>
        </a:xfrm>
        <a:prstGeom prst="rect">
          <a:avLst/>
        </a:prstGeom>
        <a:solidFill>
          <a:srgbClr val="FFFFFF"/>
        </a:solidFill>
        <a:ln w="9525" algn="ctr">
          <a:solidFill>
            <a:srgbClr val="000000"/>
          </a:solidFill>
          <a:round/>
          <a:headEnd/>
          <a:tailEnd/>
        </a:ln>
      </xdr:spPr>
    </xdr:sp>
    <xdr:clientData/>
  </xdr:twoCellAnchor>
  <xdr:twoCellAnchor>
    <xdr:from>
      <xdr:col>25</xdr:col>
      <xdr:colOff>104775</xdr:colOff>
      <xdr:row>58</xdr:row>
      <xdr:rowOff>171450</xdr:rowOff>
    </xdr:from>
    <xdr:to>
      <xdr:col>26</xdr:col>
      <xdr:colOff>219075</xdr:colOff>
      <xdr:row>60</xdr:row>
      <xdr:rowOff>114300</xdr:rowOff>
    </xdr:to>
    <xdr:sp macro="" textlink="">
      <xdr:nvSpPr>
        <xdr:cNvPr id="4648616" name="Rectangle 166">
          <a:extLst>
            <a:ext uri="{FF2B5EF4-FFF2-40B4-BE49-F238E27FC236}">
              <a16:creationId xmlns:a16="http://schemas.microsoft.com/office/drawing/2014/main" id="{58CC41A6-3BC4-46CD-9E1D-B88309BF09C3}"/>
            </a:ext>
          </a:extLst>
        </xdr:cNvPr>
        <xdr:cNvSpPr>
          <a:spLocks noChangeArrowheads="1"/>
        </xdr:cNvSpPr>
      </xdr:nvSpPr>
      <xdr:spPr bwMode="auto">
        <a:xfrm>
          <a:off x="8420100" y="10048875"/>
          <a:ext cx="438150" cy="285750"/>
        </a:xfrm>
        <a:prstGeom prst="rect">
          <a:avLst/>
        </a:prstGeom>
        <a:solidFill>
          <a:srgbClr val="FFFFFF"/>
        </a:solidFill>
        <a:ln w="9525" algn="ctr">
          <a:solidFill>
            <a:srgbClr val="000000"/>
          </a:solidFill>
          <a:round/>
          <a:headEnd/>
          <a:tailEnd/>
        </a:ln>
      </xdr:spPr>
    </xdr:sp>
    <xdr:clientData/>
  </xdr:twoCellAnchor>
  <xdr:twoCellAnchor>
    <xdr:from>
      <xdr:col>0</xdr:col>
      <xdr:colOff>200025</xdr:colOff>
      <xdr:row>32</xdr:row>
      <xdr:rowOff>95250</xdr:rowOff>
    </xdr:from>
    <xdr:to>
      <xdr:col>8</xdr:col>
      <xdr:colOff>304800</xdr:colOff>
      <xdr:row>34</xdr:row>
      <xdr:rowOff>57150</xdr:rowOff>
    </xdr:to>
    <xdr:grpSp>
      <xdr:nvGrpSpPr>
        <xdr:cNvPr id="4648617" name="Groupe 244">
          <a:extLst>
            <a:ext uri="{FF2B5EF4-FFF2-40B4-BE49-F238E27FC236}">
              <a16:creationId xmlns:a16="http://schemas.microsoft.com/office/drawing/2014/main" id="{77E73AC9-B0B7-4739-AF4A-51EF39C749BB}"/>
            </a:ext>
          </a:extLst>
        </xdr:cNvPr>
        <xdr:cNvGrpSpPr>
          <a:grpSpLocks/>
        </xdr:cNvGrpSpPr>
      </xdr:nvGrpSpPr>
      <xdr:grpSpPr bwMode="auto">
        <a:xfrm>
          <a:off x="200025" y="5424365"/>
          <a:ext cx="2766890" cy="294054"/>
          <a:chOff x="7010400" y="9553575"/>
          <a:chExt cx="2886076" cy="285751"/>
        </a:xfrm>
      </xdr:grpSpPr>
      <xdr:grpSp>
        <xdr:nvGrpSpPr>
          <xdr:cNvPr id="4648618" name="Groupe 188">
            <a:extLst>
              <a:ext uri="{FF2B5EF4-FFF2-40B4-BE49-F238E27FC236}">
                <a16:creationId xmlns:a16="http://schemas.microsoft.com/office/drawing/2014/main" id="{4DC59A99-F0CA-4BC5-9058-F34D1DFB49EB}"/>
              </a:ext>
            </a:extLst>
          </xdr:cNvPr>
          <xdr:cNvGrpSpPr>
            <a:grpSpLocks/>
          </xdr:cNvGrpSpPr>
        </xdr:nvGrpSpPr>
        <xdr:grpSpPr bwMode="auto">
          <a:xfrm>
            <a:off x="7448550" y="9553575"/>
            <a:ext cx="2447926" cy="285750"/>
            <a:chOff x="5295900" y="29260800"/>
            <a:chExt cx="2447926" cy="285750"/>
          </a:xfrm>
        </xdr:grpSpPr>
        <xdr:grpSp>
          <xdr:nvGrpSpPr>
            <xdr:cNvPr id="4648620" name="Groupe 24">
              <a:extLst>
                <a:ext uri="{FF2B5EF4-FFF2-40B4-BE49-F238E27FC236}">
                  <a16:creationId xmlns:a16="http://schemas.microsoft.com/office/drawing/2014/main" id="{664E1B7F-E9CB-47A8-8976-12233969DC30}"/>
                </a:ext>
              </a:extLst>
            </xdr:cNvPr>
            <xdr:cNvGrpSpPr>
              <a:grpSpLocks/>
            </xdr:cNvGrpSpPr>
          </xdr:nvGrpSpPr>
          <xdr:grpSpPr bwMode="auto">
            <a:xfrm>
              <a:off x="6124574" y="29260800"/>
              <a:ext cx="790576" cy="285750"/>
              <a:chOff x="7439024" y="28575000"/>
              <a:chExt cx="790576" cy="285750"/>
            </a:xfrm>
          </xdr:grpSpPr>
          <xdr:sp macro="" textlink="">
            <xdr:nvSpPr>
              <xdr:cNvPr id="4648627" name="Rectangle 254">
                <a:extLst>
                  <a:ext uri="{FF2B5EF4-FFF2-40B4-BE49-F238E27FC236}">
                    <a16:creationId xmlns:a16="http://schemas.microsoft.com/office/drawing/2014/main" id="{96773D48-EAFB-41A2-BBA7-650773FBA403}"/>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28" name="Rectangle 255">
                <a:extLst>
                  <a:ext uri="{FF2B5EF4-FFF2-40B4-BE49-F238E27FC236}">
                    <a16:creationId xmlns:a16="http://schemas.microsoft.com/office/drawing/2014/main" id="{BA743191-D686-48A5-8ED2-98FCFCE75C55}"/>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621" name="Groupe 25">
              <a:extLst>
                <a:ext uri="{FF2B5EF4-FFF2-40B4-BE49-F238E27FC236}">
                  <a16:creationId xmlns:a16="http://schemas.microsoft.com/office/drawing/2014/main" id="{FDC73291-6EF6-4977-AC87-E339D81D29ED}"/>
                </a:ext>
              </a:extLst>
            </xdr:cNvPr>
            <xdr:cNvGrpSpPr>
              <a:grpSpLocks/>
            </xdr:cNvGrpSpPr>
          </xdr:nvGrpSpPr>
          <xdr:grpSpPr bwMode="auto">
            <a:xfrm>
              <a:off x="5295900" y="29260800"/>
              <a:ext cx="790576" cy="285750"/>
              <a:chOff x="7439024" y="28575000"/>
              <a:chExt cx="790576" cy="285750"/>
            </a:xfrm>
          </xdr:grpSpPr>
          <xdr:sp macro="" textlink="">
            <xdr:nvSpPr>
              <xdr:cNvPr id="4648625" name="Rectangle 252">
                <a:extLst>
                  <a:ext uri="{FF2B5EF4-FFF2-40B4-BE49-F238E27FC236}">
                    <a16:creationId xmlns:a16="http://schemas.microsoft.com/office/drawing/2014/main" id="{A076BABF-0EAE-44ED-92B4-C3A4DD462867}"/>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26" name="Rectangle 253">
                <a:extLst>
                  <a:ext uri="{FF2B5EF4-FFF2-40B4-BE49-F238E27FC236}">
                    <a16:creationId xmlns:a16="http://schemas.microsoft.com/office/drawing/2014/main" id="{6A3493B8-9C5F-4C6B-9626-D703917FBBEE}"/>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4648622" name="Groupe 28">
              <a:extLst>
                <a:ext uri="{FF2B5EF4-FFF2-40B4-BE49-F238E27FC236}">
                  <a16:creationId xmlns:a16="http://schemas.microsoft.com/office/drawing/2014/main" id="{3B80C736-2100-4CE9-BDEB-38741A1E594F}"/>
                </a:ext>
              </a:extLst>
            </xdr:cNvPr>
            <xdr:cNvGrpSpPr>
              <a:grpSpLocks/>
            </xdr:cNvGrpSpPr>
          </xdr:nvGrpSpPr>
          <xdr:grpSpPr bwMode="auto">
            <a:xfrm>
              <a:off x="6953250" y="29260800"/>
              <a:ext cx="790576" cy="285750"/>
              <a:chOff x="7439024" y="28575000"/>
              <a:chExt cx="790576" cy="285750"/>
            </a:xfrm>
          </xdr:grpSpPr>
          <xdr:sp macro="" textlink="">
            <xdr:nvSpPr>
              <xdr:cNvPr id="4648623" name="Rectangle 250">
                <a:extLst>
                  <a:ext uri="{FF2B5EF4-FFF2-40B4-BE49-F238E27FC236}">
                    <a16:creationId xmlns:a16="http://schemas.microsoft.com/office/drawing/2014/main" id="{EE4633D2-1629-416D-82A5-8F2A3BDB9B2D}"/>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4648624" name="Rectangle 251">
                <a:extLst>
                  <a:ext uri="{FF2B5EF4-FFF2-40B4-BE49-F238E27FC236}">
                    <a16:creationId xmlns:a16="http://schemas.microsoft.com/office/drawing/2014/main" id="{5652C9E0-0BB4-42BB-826A-24394D24A1D5}"/>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sp macro="" textlink="">
        <xdr:nvSpPr>
          <xdr:cNvPr id="4648619" name="Rectangle 246">
            <a:extLst>
              <a:ext uri="{FF2B5EF4-FFF2-40B4-BE49-F238E27FC236}">
                <a16:creationId xmlns:a16="http://schemas.microsoft.com/office/drawing/2014/main" id="{7D5E70A2-43C8-4410-B77B-2723EAF84D6D}"/>
              </a:ext>
            </a:extLst>
          </xdr:cNvPr>
          <xdr:cNvSpPr>
            <a:spLocks noChangeArrowheads="1"/>
          </xdr:cNvSpPr>
        </xdr:nvSpPr>
        <xdr:spPr bwMode="auto">
          <a:xfrm>
            <a:off x="7010400" y="9553576"/>
            <a:ext cx="371475" cy="285750"/>
          </a:xfrm>
          <a:prstGeom prst="rect">
            <a:avLst/>
          </a:prstGeom>
          <a:solidFill>
            <a:srgbClr val="FFFFFF"/>
          </a:solidFill>
          <a:ln w="9525" algn="ctr">
            <a:solidFill>
              <a:srgbClr val="000000"/>
            </a:solidFill>
            <a:round/>
            <a:headEnd/>
            <a:tailEnd/>
          </a:ln>
        </xdr:spPr>
      </xdr:sp>
    </xdr:grpSp>
    <xdr:clientData/>
  </xdr:twoCellAnchor>
  <xdr:twoCellAnchor>
    <xdr:from>
      <xdr:col>25</xdr:col>
      <xdr:colOff>161925</xdr:colOff>
      <xdr:row>87</xdr:row>
      <xdr:rowOff>19050</xdr:rowOff>
    </xdr:from>
    <xdr:to>
      <xdr:col>26</xdr:col>
      <xdr:colOff>190500</xdr:colOff>
      <xdr:row>88</xdr:row>
      <xdr:rowOff>142875</xdr:rowOff>
    </xdr:to>
    <xdr:sp macro="" textlink="">
      <xdr:nvSpPr>
        <xdr:cNvPr id="216" name="Rectangle 215">
          <a:extLst>
            <a:ext uri="{FF2B5EF4-FFF2-40B4-BE49-F238E27FC236}">
              <a16:creationId xmlns:a16="http://schemas.microsoft.com/office/drawing/2014/main" id="{63C327EC-B33C-4530-BB11-119786EE72DE}"/>
            </a:ext>
            <a:ext uri="{147F2762-F138-4A5C-976F-8EAC2B608ADB}">
              <a16:predDERef xmlns:a16="http://schemas.microsoft.com/office/drawing/2014/main" pred="{77E73AC9-B0B7-4739-AF4A-51EF39C749BB}"/>
            </a:ext>
          </a:extLst>
        </xdr:cNvPr>
        <xdr:cNvSpPr>
          <a:spLocks noChangeArrowheads="1"/>
        </xdr:cNvSpPr>
      </xdr:nvSpPr>
      <xdr:spPr bwMode="auto">
        <a:xfrm>
          <a:off x="8553450" y="15068550"/>
          <a:ext cx="352425" cy="295275"/>
        </a:xfrm>
        <a:prstGeom prst="rect">
          <a:avLst/>
        </a:prstGeom>
        <a:solidFill>
          <a:srgbClr val="FFFFFF"/>
        </a:solidFill>
        <a:ln w="9525" algn="ctr">
          <a:solidFill>
            <a:srgbClr val="000000"/>
          </a:solidFill>
          <a:round/>
          <a:headEnd/>
          <a:tailEnd/>
        </a:ln>
      </xdr:spPr>
      <xdr:txBody>
        <a:bodyPr/>
        <a:lstStyle/>
        <a:p>
          <a:endParaRPr/>
        </a:p>
      </xdr:txBody>
    </xdr:sp>
    <xdr:clientData/>
  </xdr:twoCellAnchor>
  <xdr:twoCellAnchor>
    <xdr:from>
      <xdr:col>13</xdr:col>
      <xdr:colOff>352425</xdr:colOff>
      <xdr:row>73</xdr:row>
      <xdr:rowOff>9525</xdr:rowOff>
    </xdr:from>
    <xdr:to>
      <xdr:col>14</xdr:col>
      <xdr:colOff>257175</xdr:colOff>
      <xdr:row>74</xdr:row>
      <xdr:rowOff>142875</xdr:rowOff>
    </xdr:to>
    <xdr:sp macro="" textlink="">
      <xdr:nvSpPr>
        <xdr:cNvPr id="2" name="Rectangle 1">
          <a:extLst>
            <a:ext uri="{FF2B5EF4-FFF2-40B4-BE49-F238E27FC236}">
              <a16:creationId xmlns:a16="http://schemas.microsoft.com/office/drawing/2014/main" id="{E637C00C-BF81-4792-88AD-7C995DED938A}"/>
            </a:ext>
            <a:ext uri="{147F2762-F138-4A5C-976F-8EAC2B608ADB}">
              <a16:predDERef xmlns:a16="http://schemas.microsoft.com/office/drawing/2014/main" pred="{63C327EC-B33C-4530-BB11-119786EE72DE}"/>
            </a:ext>
          </a:extLst>
        </xdr:cNvPr>
        <xdr:cNvSpPr/>
      </xdr:nvSpPr>
      <xdr:spPr bwMode="auto">
        <a:xfrm>
          <a:off x="4514850" y="12658725"/>
          <a:ext cx="266700" cy="3048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15</xdr:col>
      <xdr:colOff>219075</xdr:colOff>
      <xdr:row>73</xdr:row>
      <xdr:rowOff>19050</xdr:rowOff>
    </xdr:from>
    <xdr:to>
      <xdr:col>15</xdr:col>
      <xdr:colOff>333375</xdr:colOff>
      <xdr:row>74</xdr:row>
      <xdr:rowOff>95250</xdr:rowOff>
    </xdr:to>
    <xdr:cxnSp macro="">
      <xdr:nvCxnSpPr>
        <xdr:cNvPr id="4" name="Straight Connector 3">
          <a:extLst>
            <a:ext uri="{FF2B5EF4-FFF2-40B4-BE49-F238E27FC236}">
              <a16:creationId xmlns:a16="http://schemas.microsoft.com/office/drawing/2014/main" id="{6DB8E67F-9CDE-4CCD-BADB-68A52C3B0ACD}"/>
            </a:ext>
            <a:ext uri="{147F2762-F138-4A5C-976F-8EAC2B608ADB}">
              <a16:predDERef xmlns:a16="http://schemas.microsoft.com/office/drawing/2014/main" pred="{E637C00C-BF81-4792-88AD-7C995DED938A}"/>
            </a:ext>
          </a:extLst>
        </xdr:cNvPr>
        <xdr:cNvCxnSpPr>
          <a:cxnSpLocks/>
          <a:extLst>
            <a:ext uri="{5F17804C-33F3-41E3-A699-7DCFA2EF7971}">
              <a16:cxnDERefs xmlns:a16="http://schemas.microsoft.com/office/drawing/2014/main" st="{00000000-0000-0000-0000-000000000000}" end="{2456191E-2D79-4943-BF3E-2A1589279190}"/>
            </a:ext>
          </a:extLst>
        </xdr:cNvCxnSpPr>
      </xdr:nvCxnSpPr>
      <xdr:spPr bwMode="auto">
        <a:xfrm flipV="1">
          <a:off x="5143500" y="12668250"/>
          <a:ext cx="114300" cy="24765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14</xdr:col>
      <xdr:colOff>295275</xdr:colOff>
      <xdr:row>73</xdr:row>
      <xdr:rowOff>9525</xdr:rowOff>
    </xdr:from>
    <xdr:to>
      <xdr:col>15</xdr:col>
      <xdr:colOff>171450</xdr:colOff>
      <xdr:row>74</xdr:row>
      <xdr:rowOff>133350</xdr:rowOff>
    </xdr:to>
    <xdr:sp macro="" textlink="">
      <xdr:nvSpPr>
        <xdr:cNvPr id="5" name="Rectangle 4">
          <a:extLst>
            <a:ext uri="{FF2B5EF4-FFF2-40B4-BE49-F238E27FC236}">
              <a16:creationId xmlns:a16="http://schemas.microsoft.com/office/drawing/2014/main" id="{5F6CF2D0-7E18-4491-96D0-DA2779A8D95B}"/>
            </a:ext>
            <a:ext uri="{147F2762-F138-4A5C-976F-8EAC2B608ADB}">
              <a16:predDERef xmlns:a16="http://schemas.microsoft.com/office/drawing/2014/main" pred="{6DB8E67F-9CDE-4CCD-BADB-68A52C3B0ACD}"/>
            </a:ext>
          </a:extLst>
        </xdr:cNvPr>
        <xdr:cNvSpPr/>
      </xdr:nvSpPr>
      <xdr:spPr bwMode="auto">
        <a:xfrm>
          <a:off x="4819650" y="12658725"/>
          <a:ext cx="27622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16</xdr:col>
      <xdr:colOff>0</xdr:colOff>
      <xdr:row>72</xdr:row>
      <xdr:rowOff>142875</xdr:rowOff>
    </xdr:from>
    <xdr:to>
      <xdr:col>16</xdr:col>
      <xdr:colOff>285750</xdr:colOff>
      <xdr:row>74</xdr:row>
      <xdr:rowOff>133350</xdr:rowOff>
    </xdr:to>
    <xdr:sp macro="" textlink="">
      <xdr:nvSpPr>
        <xdr:cNvPr id="6" name="Rectangle 5">
          <a:extLst>
            <a:ext uri="{FF2B5EF4-FFF2-40B4-BE49-F238E27FC236}">
              <a16:creationId xmlns:a16="http://schemas.microsoft.com/office/drawing/2014/main" id="{CB62ECD3-065C-4D3A-8E71-69C796ABC685}"/>
            </a:ext>
            <a:ext uri="{147F2762-F138-4A5C-976F-8EAC2B608ADB}">
              <a16:predDERef xmlns:a16="http://schemas.microsoft.com/office/drawing/2014/main" pred="{5F6CF2D0-7E18-4491-96D0-DA2779A8D95B}"/>
            </a:ext>
          </a:extLst>
        </xdr:cNvPr>
        <xdr:cNvSpPr/>
      </xdr:nvSpPr>
      <xdr:spPr bwMode="auto">
        <a:xfrm>
          <a:off x="5324475" y="12620625"/>
          <a:ext cx="285750" cy="3333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16</xdr:col>
      <xdr:colOff>352425</xdr:colOff>
      <xdr:row>72</xdr:row>
      <xdr:rowOff>133350</xdr:rowOff>
    </xdr:from>
    <xdr:to>
      <xdr:col>17</xdr:col>
      <xdr:colOff>266700</xdr:colOff>
      <xdr:row>74</xdr:row>
      <xdr:rowOff>142875</xdr:rowOff>
    </xdr:to>
    <xdr:sp macro="" textlink="">
      <xdr:nvSpPr>
        <xdr:cNvPr id="7" name="Rectangle 6">
          <a:extLst>
            <a:ext uri="{FF2B5EF4-FFF2-40B4-BE49-F238E27FC236}">
              <a16:creationId xmlns:a16="http://schemas.microsoft.com/office/drawing/2014/main" id="{34FE9F74-F0EC-420E-84F9-585B42CD4649}"/>
            </a:ext>
            <a:ext uri="{147F2762-F138-4A5C-976F-8EAC2B608ADB}">
              <a16:predDERef xmlns:a16="http://schemas.microsoft.com/office/drawing/2014/main" pred="{CB62ECD3-065C-4D3A-8E71-69C796ABC685}"/>
            </a:ext>
          </a:extLst>
        </xdr:cNvPr>
        <xdr:cNvSpPr/>
      </xdr:nvSpPr>
      <xdr:spPr bwMode="auto">
        <a:xfrm>
          <a:off x="5676900" y="12611100"/>
          <a:ext cx="276225" cy="3524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15</xdr:col>
      <xdr:colOff>333375</xdr:colOff>
      <xdr:row>46</xdr:row>
      <xdr:rowOff>114300</xdr:rowOff>
    </xdr:from>
    <xdr:to>
      <xdr:col>17</xdr:col>
      <xdr:colOff>9525</xdr:colOff>
      <xdr:row>48</xdr:row>
      <xdr:rowOff>95250</xdr:rowOff>
    </xdr:to>
    <xdr:sp macro="" textlink="">
      <xdr:nvSpPr>
        <xdr:cNvPr id="8" name="Rectangle 7">
          <a:extLst>
            <a:ext uri="{FF2B5EF4-FFF2-40B4-BE49-F238E27FC236}">
              <a16:creationId xmlns:a16="http://schemas.microsoft.com/office/drawing/2014/main" id="{5D2CFC9A-D5F4-4FE1-8406-6FE0906DD04D}"/>
            </a:ext>
            <a:ext uri="{147F2762-F138-4A5C-976F-8EAC2B608ADB}">
              <a16:predDERef xmlns:a16="http://schemas.microsoft.com/office/drawing/2014/main" pred="{34FE9F74-F0EC-420E-84F9-585B42CD4649}"/>
            </a:ext>
          </a:extLst>
        </xdr:cNvPr>
        <xdr:cNvSpPr/>
      </xdr:nvSpPr>
      <xdr:spPr bwMode="auto">
        <a:xfrm>
          <a:off x="5257800" y="8134350"/>
          <a:ext cx="438150" cy="32385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23</xdr:col>
      <xdr:colOff>257175</xdr:colOff>
      <xdr:row>65</xdr:row>
      <xdr:rowOff>9525</xdr:rowOff>
    </xdr:from>
    <xdr:to>
      <xdr:col>24</xdr:col>
      <xdr:colOff>285750</xdr:colOff>
      <xdr:row>67</xdr:row>
      <xdr:rowOff>57150</xdr:rowOff>
    </xdr:to>
    <xdr:sp macro="" textlink="">
      <xdr:nvSpPr>
        <xdr:cNvPr id="9" name="Rectangle 8">
          <a:extLst>
            <a:ext uri="{FF2B5EF4-FFF2-40B4-BE49-F238E27FC236}">
              <a16:creationId xmlns:a16="http://schemas.microsoft.com/office/drawing/2014/main" id="{BD85A587-64FE-46D1-9F83-70A5A7295A4A}"/>
            </a:ext>
            <a:ext uri="{147F2762-F138-4A5C-976F-8EAC2B608ADB}">
              <a16:predDERef xmlns:a16="http://schemas.microsoft.com/office/drawing/2014/main" pred="{5D2CFC9A-D5F4-4FE1-8406-6FE0906DD04D}"/>
            </a:ext>
          </a:extLst>
        </xdr:cNvPr>
        <xdr:cNvSpPr/>
      </xdr:nvSpPr>
      <xdr:spPr bwMode="auto">
        <a:xfrm>
          <a:off x="7924800" y="11287125"/>
          <a:ext cx="428625" cy="3905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9</xdr:col>
      <xdr:colOff>361950</xdr:colOff>
      <xdr:row>110</xdr:row>
      <xdr:rowOff>38100</xdr:rowOff>
    </xdr:from>
    <xdr:to>
      <xdr:col>11</xdr:col>
      <xdr:colOff>123825</xdr:colOff>
      <xdr:row>112</xdr:row>
      <xdr:rowOff>28575</xdr:rowOff>
    </xdr:to>
    <xdr:sp macro="" textlink="">
      <xdr:nvSpPr>
        <xdr:cNvPr id="3" name="Rectangle 2">
          <a:extLst>
            <a:ext uri="{FF2B5EF4-FFF2-40B4-BE49-F238E27FC236}">
              <a16:creationId xmlns:a16="http://schemas.microsoft.com/office/drawing/2014/main" id="{0981D072-2528-4D42-BA29-77A71D2BA284}"/>
            </a:ext>
            <a:ext uri="{147F2762-F138-4A5C-976F-8EAC2B608ADB}">
              <a16:predDERef xmlns:a16="http://schemas.microsoft.com/office/drawing/2014/main" pred="{BD85A587-64FE-46D1-9F83-70A5A7295A4A}"/>
            </a:ext>
          </a:extLst>
        </xdr:cNvPr>
        <xdr:cNvSpPr/>
      </xdr:nvSpPr>
      <xdr:spPr bwMode="auto">
        <a:xfrm>
          <a:off x="3343275" y="19030950"/>
          <a:ext cx="342900" cy="3333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11</xdr:col>
      <xdr:colOff>190500</xdr:colOff>
      <xdr:row>110</xdr:row>
      <xdr:rowOff>28575</xdr:rowOff>
    </xdr:from>
    <xdr:to>
      <xdr:col>12</xdr:col>
      <xdr:colOff>342900</xdr:colOff>
      <xdr:row>112</xdr:row>
      <xdr:rowOff>38100</xdr:rowOff>
    </xdr:to>
    <xdr:sp macro="" textlink="">
      <xdr:nvSpPr>
        <xdr:cNvPr id="10" name="Rectangle 9">
          <a:extLst>
            <a:ext uri="{FF2B5EF4-FFF2-40B4-BE49-F238E27FC236}">
              <a16:creationId xmlns:a16="http://schemas.microsoft.com/office/drawing/2014/main" id="{B2BB6B7B-C1A1-4EB6-A973-FCED28E08BC8}"/>
            </a:ext>
            <a:ext uri="{147F2762-F138-4A5C-976F-8EAC2B608ADB}">
              <a16:predDERef xmlns:a16="http://schemas.microsoft.com/office/drawing/2014/main" pred="{0981D072-2528-4D42-BA29-77A71D2BA284}"/>
            </a:ext>
          </a:extLst>
        </xdr:cNvPr>
        <xdr:cNvSpPr/>
      </xdr:nvSpPr>
      <xdr:spPr bwMode="auto">
        <a:xfrm>
          <a:off x="3752850" y="19021425"/>
          <a:ext cx="352425" cy="3524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13</xdr:col>
      <xdr:colOff>57150</xdr:colOff>
      <xdr:row>110</xdr:row>
      <xdr:rowOff>28575</xdr:rowOff>
    </xdr:from>
    <xdr:to>
      <xdr:col>14</xdr:col>
      <xdr:colOff>57150</xdr:colOff>
      <xdr:row>112</xdr:row>
      <xdr:rowOff>47625</xdr:rowOff>
    </xdr:to>
    <xdr:sp macro="" textlink="">
      <xdr:nvSpPr>
        <xdr:cNvPr id="11" name="Rectangle 10">
          <a:extLst>
            <a:ext uri="{FF2B5EF4-FFF2-40B4-BE49-F238E27FC236}">
              <a16:creationId xmlns:a16="http://schemas.microsoft.com/office/drawing/2014/main" id="{3A2E1822-3D3D-4C96-9D23-E9ECCDB59674}"/>
            </a:ext>
            <a:ext uri="{147F2762-F138-4A5C-976F-8EAC2B608ADB}">
              <a16:predDERef xmlns:a16="http://schemas.microsoft.com/office/drawing/2014/main" pred="{B2BB6B7B-C1A1-4EB6-A973-FCED28E08BC8}"/>
            </a:ext>
          </a:extLst>
        </xdr:cNvPr>
        <xdr:cNvSpPr/>
      </xdr:nvSpPr>
      <xdr:spPr bwMode="auto">
        <a:xfrm>
          <a:off x="4219575" y="19021425"/>
          <a:ext cx="361950" cy="36195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14</xdr:col>
      <xdr:colOff>123825</xdr:colOff>
      <xdr:row>110</xdr:row>
      <xdr:rowOff>19050</xdr:rowOff>
    </xdr:from>
    <xdr:to>
      <xdr:col>15</xdr:col>
      <xdr:colOff>123825</xdr:colOff>
      <xdr:row>112</xdr:row>
      <xdr:rowOff>47625</xdr:rowOff>
    </xdr:to>
    <xdr:sp macro="" textlink="">
      <xdr:nvSpPr>
        <xdr:cNvPr id="12" name="Rectangle 11">
          <a:extLst>
            <a:ext uri="{FF2B5EF4-FFF2-40B4-BE49-F238E27FC236}">
              <a16:creationId xmlns:a16="http://schemas.microsoft.com/office/drawing/2014/main" id="{BB50B108-F578-4F19-A6CF-3EDEBA30FB2D}"/>
            </a:ext>
            <a:ext uri="{147F2762-F138-4A5C-976F-8EAC2B608ADB}">
              <a16:predDERef xmlns:a16="http://schemas.microsoft.com/office/drawing/2014/main" pred="{3A2E1822-3D3D-4C96-9D23-E9ECCDB59674}"/>
            </a:ext>
          </a:extLst>
        </xdr:cNvPr>
        <xdr:cNvSpPr/>
      </xdr:nvSpPr>
      <xdr:spPr bwMode="auto">
        <a:xfrm>
          <a:off x="4648200" y="19011900"/>
          <a:ext cx="400050" cy="3714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15</xdr:col>
      <xdr:colOff>219075</xdr:colOff>
      <xdr:row>110</xdr:row>
      <xdr:rowOff>9525</xdr:rowOff>
    </xdr:from>
    <xdr:to>
      <xdr:col>16</xdr:col>
      <xdr:colOff>190500</xdr:colOff>
      <xdr:row>112</xdr:row>
      <xdr:rowOff>38100</xdr:rowOff>
    </xdr:to>
    <xdr:sp macro="" textlink="">
      <xdr:nvSpPr>
        <xdr:cNvPr id="13" name="Rectangle 12">
          <a:extLst>
            <a:ext uri="{FF2B5EF4-FFF2-40B4-BE49-F238E27FC236}">
              <a16:creationId xmlns:a16="http://schemas.microsoft.com/office/drawing/2014/main" id="{E6301F57-9C94-4B8D-AA01-27F689A818C6}"/>
            </a:ext>
            <a:ext uri="{147F2762-F138-4A5C-976F-8EAC2B608ADB}">
              <a16:predDERef xmlns:a16="http://schemas.microsoft.com/office/drawing/2014/main" pred="{BB50B108-F578-4F19-A6CF-3EDEBA30FB2D}"/>
            </a:ext>
          </a:extLst>
        </xdr:cNvPr>
        <xdr:cNvSpPr/>
      </xdr:nvSpPr>
      <xdr:spPr bwMode="auto">
        <a:xfrm>
          <a:off x="5143500" y="19002375"/>
          <a:ext cx="371475" cy="3714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twoCellAnchor>
    <xdr:from>
      <xdr:col>16</xdr:col>
      <xdr:colOff>266700</xdr:colOff>
      <xdr:row>110</xdr:row>
      <xdr:rowOff>19050</xdr:rowOff>
    </xdr:from>
    <xdr:to>
      <xdr:col>17</xdr:col>
      <xdr:colOff>295275</xdr:colOff>
      <xdr:row>112</xdr:row>
      <xdr:rowOff>57150</xdr:rowOff>
    </xdr:to>
    <xdr:sp macro="" textlink="">
      <xdr:nvSpPr>
        <xdr:cNvPr id="14" name="Rectangle 13">
          <a:extLst>
            <a:ext uri="{FF2B5EF4-FFF2-40B4-BE49-F238E27FC236}">
              <a16:creationId xmlns:a16="http://schemas.microsoft.com/office/drawing/2014/main" id="{BEA7F5D2-7665-4676-90CE-471A5CBA6D26}"/>
            </a:ext>
            <a:ext uri="{147F2762-F138-4A5C-976F-8EAC2B608ADB}">
              <a16:predDERef xmlns:a16="http://schemas.microsoft.com/office/drawing/2014/main" pred="{E6301F57-9C94-4B8D-AA01-27F689A818C6}"/>
            </a:ext>
          </a:extLst>
        </xdr:cNvPr>
        <xdr:cNvSpPr/>
      </xdr:nvSpPr>
      <xdr:spPr bwMode="auto">
        <a:xfrm>
          <a:off x="5591175" y="19011900"/>
          <a:ext cx="390525" cy="381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419100</xdr:colOff>
      <xdr:row>11</xdr:row>
      <xdr:rowOff>123825</xdr:rowOff>
    </xdr:from>
    <xdr:to>
      <xdr:col>11</xdr:col>
      <xdr:colOff>857250</xdr:colOff>
      <xdr:row>13</xdr:row>
      <xdr:rowOff>104775</xdr:rowOff>
    </xdr:to>
    <xdr:sp macro="" textlink="">
      <xdr:nvSpPr>
        <xdr:cNvPr id="4457939" name="Rectangle 1">
          <a:extLst>
            <a:ext uri="{FF2B5EF4-FFF2-40B4-BE49-F238E27FC236}">
              <a16:creationId xmlns:a16="http://schemas.microsoft.com/office/drawing/2014/main" id="{EF674487-0FC9-485B-BD2B-C877DB40EDC4}"/>
            </a:ext>
          </a:extLst>
        </xdr:cNvPr>
        <xdr:cNvSpPr>
          <a:spLocks noChangeArrowheads="1"/>
        </xdr:cNvSpPr>
      </xdr:nvSpPr>
      <xdr:spPr bwMode="auto">
        <a:xfrm>
          <a:off x="7505700" y="3819525"/>
          <a:ext cx="438150" cy="314325"/>
        </a:xfrm>
        <a:prstGeom prst="rect">
          <a:avLst/>
        </a:prstGeom>
        <a:solidFill>
          <a:srgbClr val="FFFFFF"/>
        </a:solidFill>
        <a:ln w="9525" algn="ctr">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264252</xdr:colOff>
      <xdr:row>8</xdr:row>
      <xdr:rowOff>114844</xdr:rowOff>
    </xdr:from>
    <xdr:to>
      <xdr:col>8</xdr:col>
      <xdr:colOff>294719</xdr:colOff>
      <xdr:row>12</xdr:row>
      <xdr:rowOff>13887</xdr:rowOff>
    </xdr:to>
    <xdr:sp macro="" textlink="">
      <xdr:nvSpPr>
        <xdr:cNvPr id="2" name="Text Box 11">
          <a:extLst>
            <a:ext uri="{FF2B5EF4-FFF2-40B4-BE49-F238E27FC236}">
              <a16:creationId xmlns:a16="http://schemas.microsoft.com/office/drawing/2014/main" id="{E5CB0110-9847-4059-BF16-E7F53EA53F06}"/>
            </a:ext>
          </a:extLst>
        </xdr:cNvPr>
        <xdr:cNvSpPr txBox="1">
          <a:spLocks noChangeArrowheads="1"/>
        </xdr:cNvSpPr>
      </xdr:nvSpPr>
      <xdr:spPr bwMode="auto">
        <a:xfrm>
          <a:off x="3960495" y="1480185"/>
          <a:ext cx="1490829" cy="762603"/>
        </a:xfrm>
        <a:prstGeom prst="rect">
          <a:avLst/>
        </a:prstGeom>
        <a:noFill/>
        <a:ln w="3175">
          <a:noFill/>
          <a:miter lim="800000"/>
          <a:headEnd/>
          <a:tailEnd/>
        </a:ln>
        <a:effectLst/>
      </xdr:spPr>
      <xdr:txBody>
        <a:bodyPr vertOverflow="clip" wrap="square" lIns="45720" tIns="45720" rIns="45720" bIns="45720" anchor="t" upright="1"/>
        <a:lstStyle/>
        <a:p>
          <a:pPr algn="l" rtl="0">
            <a:defRPr sz="1000"/>
          </a:pPr>
          <a:r>
            <a:rPr lang="en-US" sz="900" b="0" i="0" u="none" strike="noStrike" baseline="0">
              <a:solidFill>
                <a:srgbClr val="000000"/>
              </a:solidFill>
              <a:latin typeface="Arial Narrow" pitchFamily="34" charset="0"/>
              <a:cs typeface="Courier New" pitchFamily="49" charset="0"/>
            </a:rPr>
            <a:t>Augmenté.................	1</a:t>
          </a:r>
        </a:p>
        <a:p>
          <a:pPr algn="l" rtl="0">
            <a:defRPr sz="1000"/>
          </a:pPr>
          <a:r>
            <a:rPr lang="en-US" sz="900" b="0" i="0" u="none" strike="noStrike" baseline="0">
              <a:solidFill>
                <a:srgbClr val="000000"/>
              </a:solidFill>
              <a:latin typeface="Arial Narrow" pitchFamily="34" charset="0"/>
              <a:cs typeface="Courier New" pitchFamily="49" charset="0"/>
            </a:rPr>
            <a:t>Diminué....................	2</a:t>
          </a:r>
        </a:p>
        <a:p>
          <a:pPr algn="l" rtl="0">
            <a:defRPr sz="1000"/>
          </a:pPr>
          <a:r>
            <a:rPr lang="en-US" sz="900" b="0" i="0" u="none" strike="noStrike" baseline="0">
              <a:solidFill>
                <a:srgbClr val="000000"/>
              </a:solidFill>
              <a:latin typeface="Arial Narrow" pitchFamily="34" charset="0"/>
              <a:cs typeface="Courier New" pitchFamily="49" charset="0"/>
            </a:rPr>
            <a:t>Inchangé...................	3</a:t>
          </a:r>
        </a:p>
        <a:p>
          <a:pPr algn="l" rtl="0">
            <a:lnSpc>
              <a:spcPts val="900"/>
            </a:lnSpc>
            <a:defRPr sz="1000"/>
          </a:pPr>
          <a:r>
            <a:rPr lang="en-US" sz="900" b="0" i="0" u="none" strike="noStrike" baseline="0">
              <a:solidFill>
                <a:srgbClr val="000000"/>
              </a:solidFill>
              <a:latin typeface="Arial Narrow" pitchFamily="34" charset="0"/>
              <a:cs typeface="Courier New" pitchFamily="49" charset="0"/>
            </a:rPr>
            <a:t>Non-concerné...........	4</a:t>
          </a:r>
        </a:p>
      </xdr:txBody>
    </xdr:sp>
    <xdr:clientData/>
  </xdr:twoCellAnchor>
  <xdr:twoCellAnchor>
    <xdr:from>
      <xdr:col>2</xdr:col>
      <xdr:colOff>447675</xdr:colOff>
      <xdr:row>1</xdr:row>
      <xdr:rowOff>123825</xdr:rowOff>
    </xdr:from>
    <xdr:to>
      <xdr:col>2</xdr:col>
      <xdr:colOff>1209675</xdr:colOff>
      <xdr:row>2</xdr:row>
      <xdr:rowOff>142875</xdr:rowOff>
    </xdr:to>
    <xdr:grpSp>
      <xdr:nvGrpSpPr>
        <xdr:cNvPr id="4564813" name="Group 310">
          <a:extLst>
            <a:ext uri="{FF2B5EF4-FFF2-40B4-BE49-F238E27FC236}">
              <a16:creationId xmlns:a16="http://schemas.microsoft.com/office/drawing/2014/main" id="{B69CC325-C625-4EA8-ACB9-A3C16ACD96CA}"/>
            </a:ext>
            <a:ext uri="{147F2762-F138-4A5C-976F-8EAC2B608ADB}">
              <a16:predDERef xmlns:a16="http://schemas.microsoft.com/office/drawing/2014/main" pred="{E5CB0110-9847-4059-BF16-E7F53EA53F06}"/>
            </a:ext>
          </a:extLst>
        </xdr:cNvPr>
        <xdr:cNvGrpSpPr>
          <a:grpSpLocks/>
        </xdr:cNvGrpSpPr>
      </xdr:nvGrpSpPr>
      <xdr:grpSpPr bwMode="auto">
        <a:xfrm>
          <a:off x="2520496" y="287111"/>
          <a:ext cx="762000" cy="191407"/>
          <a:chOff x="292" y="235"/>
          <a:chExt cx="53" cy="31"/>
        </a:xfrm>
      </xdr:grpSpPr>
      <xdr:sp macro="" textlink="">
        <xdr:nvSpPr>
          <xdr:cNvPr id="4564814" name="Rectangle 1">
            <a:extLst>
              <a:ext uri="{FF2B5EF4-FFF2-40B4-BE49-F238E27FC236}">
                <a16:creationId xmlns:a16="http://schemas.microsoft.com/office/drawing/2014/main" id="{6D2C5F10-3BEB-422B-A8B3-3235F9A4CA0E}"/>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4564815" name="Rectangle 1">
            <a:extLst>
              <a:ext uri="{FF2B5EF4-FFF2-40B4-BE49-F238E27FC236}">
                <a16:creationId xmlns:a16="http://schemas.microsoft.com/office/drawing/2014/main" id="{50B3B2D3-4530-47B9-8959-AB8CB7BBBD93}"/>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1</xdr:row>
      <xdr:rowOff>0</xdr:rowOff>
    </xdr:from>
    <xdr:to>
      <xdr:col>7</xdr:col>
      <xdr:colOff>723900</xdr:colOff>
      <xdr:row>2</xdr:row>
      <xdr:rowOff>38100</xdr:rowOff>
    </xdr:to>
    <xdr:grpSp>
      <xdr:nvGrpSpPr>
        <xdr:cNvPr id="4599161" name="Group 310">
          <a:extLst>
            <a:ext uri="{FF2B5EF4-FFF2-40B4-BE49-F238E27FC236}">
              <a16:creationId xmlns:a16="http://schemas.microsoft.com/office/drawing/2014/main" id="{A952D3BC-14CC-4388-9F83-E4D4F7A40573}"/>
            </a:ext>
          </a:extLst>
        </xdr:cNvPr>
        <xdr:cNvGrpSpPr>
          <a:grpSpLocks/>
        </xdr:cNvGrpSpPr>
      </xdr:nvGrpSpPr>
      <xdr:grpSpPr bwMode="auto">
        <a:xfrm>
          <a:off x="7688385" y="195385"/>
          <a:ext cx="723900" cy="233484"/>
          <a:chOff x="292" y="235"/>
          <a:chExt cx="53" cy="31"/>
        </a:xfrm>
      </xdr:grpSpPr>
      <xdr:sp macro="" textlink="">
        <xdr:nvSpPr>
          <xdr:cNvPr id="4599162" name="Rectangle 1">
            <a:extLst>
              <a:ext uri="{FF2B5EF4-FFF2-40B4-BE49-F238E27FC236}">
                <a16:creationId xmlns:a16="http://schemas.microsoft.com/office/drawing/2014/main" id="{317DD12F-E312-48B1-AB91-4229EEC3F031}"/>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4599163" name="Rectangle 1">
            <a:extLst>
              <a:ext uri="{FF2B5EF4-FFF2-40B4-BE49-F238E27FC236}">
                <a16:creationId xmlns:a16="http://schemas.microsoft.com/office/drawing/2014/main" id="{8FDCF952-AF4D-4584-BA1E-4C4C25543CD5}"/>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2:AW39"/>
  <sheetViews>
    <sheetView showGridLines="0" view="pageBreakPreview" topLeftCell="A16" zoomScale="140" zoomScaleNormal="140" zoomScaleSheetLayoutView="140" workbookViewId="0">
      <selection activeCell="BX20" sqref="BX20"/>
    </sheetView>
  </sheetViews>
  <sheetFormatPr defaultColWidth="2.7265625" defaultRowHeight="15.5" x14ac:dyDescent="0.35"/>
  <cols>
    <col min="1" max="11" width="2.7265625" style="92" customWidth="1"/>
    <col min="12" max="12" width="2.7265625" style="92"/>
    <col min="13" max="14" width="2.7265625" style="92" customWidth="1"/>
    <col min="15" max="15" width="2.7265625" style="92"/>
    <col min="16" max="30" width="2.7265625" style="92" customWidth="1"/>
    <col min="31" max="31" width="2.7265625" style="92"/>
    <col min="32" max="32" width="3.453125" style="92" customWidth="1"/>
    <col min="33" max="34" width="2.7265625" style="92"/>
    <col min="35" max="35" width="2.7265625" style="92" customWidth="1"/>
    <col min="36" max="48" width="2.7265625" style="92"/>
    <col min="49" max="16384" width="2.7265625" style="1"/>
  </cols>
  <sheetData>
    <row r="2" spans="1:49" ht="18" x14ac:dyDescent="0.4">
      <c r="A2" s="2729" t="s">
        <v>0</v>
      </c>
      <c r="B2" s="2729"/>
      <c r="C2" s="2729"/>
      <c r="D2" s="2729"/>
      <c r="E2" s="2729"/>
      <c r="F2" s="2729"/>
      <c r="G2" s="2729"/>
      <c r="H2" s="2729"/>
      <c r="I2" s="2729"/>
      <c r="J2" s="2729"/>
      <c r="K2" s="2729"/>
      <c r="L2" s="2729"/>
      <c r="M2" s="2729"/>
      <c r="N2" s="2729"/>
      <c r="O2" s="2729"/>
      <c r="P2" s="2729"/>
      <c r="Q2" s="2729"/>
      <c r="R2" s="2729"/>
      <c r="S2" s="2729"/>
      <c r="T2" s="2729"/>
      <c r="U2" s="2729"/>
      <c r="V2" s="2729"/>
      <c r="W2" s="2729"/>
      <c r="X2" s="2729"/>
      <c r="Y2" s="2729"/>
      <c r="Z2" s="2729"/>
      <c r="AA2" s="2729"/>
      <c r="AB2" s="2729"/>
      <c r="AC2" s="2729"/>
      <c r="AD2" s="2729"/>
      <c r="AE2" s="2729"/>
      <c r="AF2" s="2729"/>
      <c r="AG2" s="2729"/>
      <c r="AH2" s="2729"/>
      <c r="AI2" s="2729"/>
      <c r="AJ2" s="2729"/>
      <c r="AK2" s="2729"/>
      <c r="AL2" s="2729"/>
      <c r="AM2" s="2729"/>
      <c r="AN2" s="2729"/>
      <c r="AO2" s="2729"/>
      <c r="AP2" s="2729"/>
      <c r="AQ2" s="2729"/>
      <c r="AR2" s="2729"/>
      <c r="AS2" s="2729"/>
      <c r="AT2" s="2729"/>
      <c r="AU2" s="2729"/>
      <c r="AV2" s="2729"/>
      <c r="AW2" s="2729"/>
    </row>
    <row r="3" spans="1:49" x14ac:dyDescent="0.35">
      <c r="A3" s="1"/>
      <c r="B3" s="94"/>
      <c r="C3" s="94"/>
      <c r="D3" s="94"/>
      <c r="E3" s="94"/>
      <c r="F3" s="94"/>
      <c r="G3" s="94"/>
      <c r="H3" s="94"/>
      <c r="I3" s="94"/>
      <c r="J3" s="94"/>
      <c r="K3" s="94"/>
      <c r="L3" s="94"/>
      <c r="M3" s="94"/>
      <c r="N3" s="94"/>
      <c r="O3" s="94"/>
      <c r="Q3" s="184"/>
      <c r="R3" s="184"/>
      <c r="S3" s="184"/>
      <c r="T3" s="184"/>
      <c r="U3" s="184"/>
      <c r="V3" s="184"/>
      <c r="W3" s="184"/>
      <c r="X3" s="184"/>
      <c r="Y3" s="184"/>
      <c r="Z3" s="184"/>
      <c r="AA3" s="184"/>
      <c r="AB3" s="184"/>
      <c r="AC3" s="184"/>
      <c r="AD3" s="184"/>
      <c r="AE3" s="184"/>
      <c r="AF3" s="184"/>
      <c r="AG3" s="184"/>
    </row>
    <row r="4" spans="1:49" x14ac:dyDescent="0.35">
      <c r="A4" s="2730" t="s">
        <v>1</v>
      </c>
      <c r="B4" s="2730"/>
      <c r="C4" s="2730"/>
      <c r="D4" s="2730"/>
      <c r="E4" s="2730"/>
      <c r="F4" s="2730"/>
      <c r="G4" s="2730"/>
      <c r="H4" s="2730"/>
      <c r="I4" s="2730"/>
      <c r="J4" s="2730"/>
      <c r="K4" s="2730"/>
      <c r="L4" s="2730"/>
      <c r="M4" s="2730"/>
      <c r="N4" s="2730"/>
      <c r="O4" s="2730"/>
      <c r="P4" s="2730"/>
      <c r="Q4" s="2730"/>
      <c r="R4" s="2730"/>
      <c r="S4" s="2730"/>
      <c r="T4" s="2730"/>
      <c r="U4" s="2730"/>
      <c r="V4" s="2730"/>
      <c r="W4" s="2730"/>
      <c r="X4" s="2730"/>
      <c r="Y4" s="2730"/>
      <c r="Z4" s="2730"/>
      <c r="AA4" s="2730"/>
      <c r="AB4" s="2730"/>
      <c r="AC4" s="2730"/>
      <c r="AD4" s="2730"/>
      <c r="AE4" s="2730"/>
      <c r="AF4" s="2730"/>
      <c r="AG4" s="2730"/>
      <c r="AH4" s="2730"/>
      <c r="AI4" s="2730"/>
      <c r="AJ4" s="2730"/>
      <c r="AK4" s="2730"/>
      <c r="AL4" s="2730"/>
      <c r="AM4" s="2730"/>
      <c r="AN4" s="2730"/>
      <c r="AO4" s="2730"/>
      <c r="AP4" s="2730"/>
      <c r="AQ4" s="2730"/>
      <c r="AR4" s="2730"/>
      <c r="AS4" s="2730"/>
      <c r="AT4" s="2730"/>
      <c r="AU4" s="2730"/>
      <c r="AV4" s="2730"/>
      <c r="AW4" s="2730"/>
    </row>
    <row r="5" spans="1:49" s="6" customFormat="1" x14ac:dyDescent="0.35"/>
    <row r="6" spans="1:49" s="6" customFormat="1" x14ac:dyDescent="0.35">
      <c r="A6" s="2730" t="s">
        <v>2</v>
      </c>
      <c r="B6" s="2730"/>
      <c r="C6" s="2730"/>
      <c r="D6" s="2730"/>
      <c r="E6" s="2730"/>
      <c r="F6" s="2730"/>
      <c r="G6" s="2730"/>
      <c r="H6" s="2730"/>
      <c r="I6" s="2730"/>
      <c r="J6" s="2730"/>
      <c r="K6" s="2730"/>
      <c r="L6" s="2730"/>
      <c r="M6" s="2730"/>
      <c r="N6" s="2730"/>
      <c r="O6" s="2730"/>
      <c r="P6" s="2730"/>
      <c r="Q6" s="2730"/>
      <c r="R6" s="2730"/>
      <c r="S6" s="2730"/>
      <c r="T6" s="2730"/>
      <c r="U6" s="2730"/>
      <c r="V6" s="2730"/>
      <c r="W6" s="2730"/>
      <c r="X6" s="2730"/>
      <c r="Y6" s="2730"/>
      <c r="Z6" s="2730"/>
      <c r="AA6" s="2730"/>
      <c r="AB6" s="2730"/>
      <c r="AC6" s="2730"/>
      <c r="AD6" s="2730"/>
      <c r="AE6" s="2730"/>
      <c r="AF6" s="2730"/>
      <c r="AG6" s="2730"/>
      <c r="AH6" s="2730"/>
      <c r="AI6" s="2730"/>
      <c r="AJ6" s="2730"/>
      <c r="AK6" s="2730"/>
      <c r="AL6" s="2730"/>
      <c r="AM6" s="2730"/>
      <c r="AN6" s="2730"/>
      <c r="AO6" s="2730"/>
      <c r="AP6" s="2730"/>
      <c r="AQ6" s="2730"/>
      <c r="AR6" s="2730"/>
      <c r="AS6" s="2730"/>
      <c r="AT6" s="2730"/>
      <c r="AU6" s="2730"/>
      <c r="AV6" s="2730"/>
      <c r="AW6" s="2730"/>
    </row>
    <row r="7" spans="1:49" s="6" customFormat="1" x14ac:dyDescent="0.35">
      <c r="A7" s="2338"/>
      <c r="B7" s="2338"/>
      <c r="C7" s="2338"/>
      <c r="D7" s="2338"/>
      <c r="E7" s="2338"/>
      <c r="F7" s="2338"/>
      <c r="G7" s="2338"/>
      <c r="H7" s="2338"/>
      <c r="I7" s="2338"/>
      <c r="J7" s="2338"/>
      <c r="K7" s="2338"/>
      <c r="L7" s="2338"/>
      <c r="M7" s="2338"/>
      <c r="N7" s="2338"/>
      <c r="O7" s="2338"/>
      <c r="P7" s="2338"/>
      <c r="Q7" s="2338"/>
      <c r="R7" s="2338"/>
      <c r="S7" s="2338"/>
      <c r="T7" s="2338"/>
      <c r="U7" s="2338"/>
      <c r="V7" s="2338"/>
      <c r="W7" s="2338"/>
      <c r="X7" s="2338"/>
      <c r="Y7" s="2338"/>
      <c r="Z7" s="2338"/>
      <c r="AA7" s="2338"/>
      <c r="AB7" s="2338"/>
      <c r="AC7" s="2338"/>
      <c r="AD7" s="2338"/>
      <c r="AE7" s="2338"/>
      <c r="AF7" s="2338"/>
      <c r="AG7" s="2338"/>
      <c r="AH7" s="2338"/>
      <c r="AI7" s="2338"/>
      <c r="AJ7" s="2338"/>
      <c r="AK7" s="2338"/>
      <c r="AL7" s="2338"/>
      <c r="AM7" s="2338"/>
      <c r="AN7" s="2338"/>
      <c r="AO7" s="2338"/>
      <c r="AP7" s="2338"/>
      <c r="AQ7" s="2338"/>
      <c r="AR7" s="2338"/>
      <c r="AS7" s="2338"/>
      <c r="AT7" s="2338"/>
      <c r="AU7" s="2338"/>
      <c r="AV7" s="2338"/>
      <c r="AW7" s="2338"/>
    </row>
    <row r="8" spans="1:49" s="6" customFormat="1" x14ac:dyDescent="0.35">
      <c r="A8" s="2338"/>
      <c r="B8" s="2338"/>
      <c r="C8" s="2338"/>
      <c r="D8" s="2338"/>
      <c r="E8" s="2338"/>
      <c r="F8" s="2338"/>
      <c r="G8" s="2338"/>
      <c r="H8" s="2338"/>
      <c r="I8" s="2338"/>
      <c r="J8" s="2338"/>
      <c r="K8" s="2338"/>
      <c r="L8" s="2338"/>
      <c r="M8" s="2338"/>
      <c r="N8" s="2338"/>
      <c r="O8" s="2338"/>
      <c r="P8" s="2338"/>
      <c r="Q8" s="2338"/>
      <c r="R8" s="2338"/>
      <c r="S8" s="2338"/>
      <c r="T8" s="2338"/>
      <c r="U8" s="2338"/>
      <c r="V8" s="2338"/>
      <c r="W8" s="2338"/>
      <c r="X8" s="2338"/>
      <c r="Y8" s="2338"/>
      <c r="Z8" s="2338"/>
      <c r="AA8" s="2338"/>
      <c r="AB8" s="2338"/>
      <c r="AC8" s="2338"/>
      <c r="AD8" s="2338"/>
      <c r="AE8" s="2338"/>
      <c r="AF8" s="2338"/>
      <c r="AG8" s="2338"/>
      <c r="AH8" s="2338"/>
      <c r="AI8" s="2338"/>
      <c r="AJ8" s="2338"/>
      <c r="AK8" s="2338"/>
      <c r="AL8" s="2338"/>
      <c r="AM8" s="2338"/>
      <c r="AN8" s="2338"/>
      <c r="AO8" s="2338"/>
      <c r="AP8" s="2338"/>
      <c r="AQ8" s="2338"/>
      <c r="AR8" s="2338"/>
      <c r="AS8" s="2338"/>
      <c r="AT8" s="2338"/>
      <c r="AU8" s="2338"/>
      <c r="AV8" s="2338"/>
      <c r="AW8" s="2338"/>
    </row>
    <row r="9" spans="1:49" x14ac:dyDescent="0.35">
      <c r="A9" s="104"/>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ht="21" customHeight="1" x14ac:dyDescent="0.35">
      <c r="A10" s="104"/>
      <c r="B10" s="94"/>
      <c r="C10" s="94"/>
      <c r="D10" s="94"/>
      <c r="E10" s="94"/>
      <c r="F10" s="94"/>
      <c r="G10" s="94"/>
      <c r="H10" s="94"/>
      <c r="I10" s="94"/>
      <c r="J10" s="94"/>
      <c r="K10" s="94"/>
      <c r="L10" s="6"/>
      <c r="M10" s="6"/>
      <c r="N10" s="104"/>
      <c r="O10" s="94"/>
      <c r="P10" s="6"/>
      <c r="Q10" s="94"/>
      <c r="R10" s="94"/>
      <c r="S10" s="94"/>
      <c r="T10" s="94"/>
      <c r="U10" s="94"/>
      <c r="V10" s="94"/>
      <c r="W10" s="94"/>
      <c r="X10" s="94"/>
      <c r="Y10" s="94"/>
      <c r="Z10" s="94"/>
      <c r="AA10" s="94"/>
      <c r="AB10" s="94"/>
      <c r="AC10" s="94"/>
      <c r="AW10" s="6"/>
    </row>
    <row r="11" spans="1:49" ht="24" customHeight="1" x14ac:dyDescent="0.35">
      <c r="R11" s="2736" t="s">
        <v>3</v>
      </c>
      <c r="S11" s="2737"/>
      <c r="T11" s="2737"/>
      <c r="U11" s="2737"/>
      <c r="V11" s="2737"/>
      <c r="W11" s="2737"/>
      <c r="X11" s="2737"/>
      <c r="Y11" s="2737"/>
      <c r="Z11" s="2737"/>
      <c r="AA11" s="2737"/>
      <c r="AB11" s="2737"/>
      <c r="AC11" s="2737"/>
      <c r="AD11" s="2737"/>
      <c r="AE11" s="2737"/>
      <c r="AF11" s="2738"/>
      <c r="AL11" s="1"/>
      <c r="AM11" s="1"/>
      <c r="AN11" s="1"/>
      <c r="AO11" s="1"/>
      <c r="AP11" s="1"/>
      <c r="AQ11" s="1"/>
      <c r="AR11" s="1"/>
      <c r="AS11" s="1"/>
      <c r="AT11" s="1"/>
      <c r="AU11" s="1"/>
      <c r="AV11" s="1"/>
    </row>
    <row r="12" spans="1:49" ht="20.25" customHeight="1" x14ac:dyDescent="0.35">
      <c r="R12" s="2720" t="s">
        <v>4</v>
      </c>
      <c r="S12" s="2721"/>
      <c r="T12" s="2721"/>
      <c r="U12" s="2721"/>
      <c r="V12" s="2721"/>
      <c r="W12" s="2721"/>
      <c r="X12" s="2721"/>
      <c r="Y12" s="2722"/>
      <c r="Z12" s="2717" t="s">
        <v>5</v>
      </c>
      <c r="AA12" s="2718"/>
      <c r="AB12" s="2718"/>
      <c r="AC12" s="2719"/>
      <c r="AD12" s="2720" t="s">
        <v>6</v>
      </c>
      <c r="AE12" s="2721"/>
      <c r="AF12" s="2722"/>
      <c r="AL12" s="1"/>
      <c r="AM12" s="1"/>
      <c r="AN12" s="1"/>
      <c r="AO12" s="1"/>
      <c r="AP12" s="1"/>
      <c r="AQ12" s="1"/>
      <c r="AR12" s="1"/>
      <c r="AS12" s="1"/>
      <c r="AT12" s="1"/>
      <c r="AU12" s="1"/>
      <c r="AV12" s="1"/>
    </row>
    <row r="13" spans="1:49" s="6" customFormat="1" x14ac:dyDescent="0.35">
      <c r="A13" s="92"/>
      <c r="B13" s="92"/>
      <c r="C13" s="92"/>
      <c r="D13" s="92"/>
      <c r="E13" s="92"/>
      <c r="F13" s="92"/>
      <c r="G13" s="92"/>
      <c r="H13" s="92"/>
      <c r="I13" s="92"/>
      <c r="J13" s="92"/>
      <c r="K13" s="92"/>
      <c r="L13" s="92"/>
      <c r="M13" s="92"/>
      <c r="N13" s="92"/>
      <c r="O13" s="92"/>
      <c r="P13" s="92"/>
      <c r="Q13" s="92"/>
      <c r="R13" s="1078"/>
      <c r="S13" s="1079"/>
      <c r="T13" s="1078"/>
      <c r="U13" s="1079"/>
      <c r="V13" s="1078"/>
      <c r="W13" s="1079"/>
      <c r="X13" s="1078"/>
      <c r="Y13" s="1079"/>
      <c r="Z13" s="1858"/>
      <c r="AA13" s="1859"/>
      <c r="AB13" s="1858"/>
      <c r="AC13" s="1860"/>
      <c r="AD13" s="2723">
        <v>1</v>
      </c>
      <c r="AE13" s="2724"/>
      <c r="AF13" s="2725"/>
      <c r="AG13" s="92"/>
      <c r="AH13" s="92"/>
      <c r="AI13" s="92"/>
      <c r="AJ13" s="92"/>
      <c r="AK13" s="92"/>
      <c r="AL13" s="1"/>
      <c r="AM13" s="1"/>
      <c r="AN13" s="1"/>
      <c r="AO13" s="1"/>
      <c r="AP13" s="1"/>
      <c r="AQ13" s="1"/>
      <c r="AR13" s="1"/>
      <c r="AS13" s="1"/>
      <c r="AT13" s="1"/>
      <c r="AU13" s="1"/>
      <c r="AV13" s="1"/>
    </row>
    <row r="14" spans="1:49" s="6" customFormat="1" x14ac:dyDescent="0.35">
      <c r="A14" s="92"/>
      <c r="B14" s="92"/>
      <c r="C14" s="92"/>
      <c r="D14" s="92"/>
      <c r="E14" s="92"/>
      <c r="F14" s="92"/>
      <c r="G14" s="92"/>
      <c r="H14" s="92"/>
      <c r="I14" s="92"/>
      <c r="J14" s="92"/>
      <c r="K14" s="92"/>
      <c r="L14" s="92"/>
      <c r="M14" s="92"/>
      <c r="N14" s="92"/>
      <c r="O14" s="93"/>
      <c r="P14" s="93"/>
      <c r="Q14" s="93"/>
      <c r="R14" s="93"/>
      <c r="S14" s="93"/>
      <c r="T14" s="93"/>
      <c r="U14" s="93"/>
      <c r="V14" s="93"/>
      <c r="W14" s="93"/>
      <c r="X14" s="93"/>
      <c r="Y14" s="93"/>
      <c r="Z14" s="93"/>
      <c r="AA14" s="93"/>
      <c r="AB14" s="93"/>
      <c r="AC14" s="93"/>
      <c r="AD14" s="92"/>
      <c r="AE14" s="92"/>
      <c r="AF14" s="92"/>
      <c r="AG14" s="92"/>
      <c r="AH14" s="92"/>
      <c r="AI14" s="92"/>
      <c r="AJ14" s="92"/>
      <c r="AK14" s="92"/>
      <c r="AL14" s="92"/>
      <c r="AM14" s="92"/>
      <c r="AN14" s="92"/>
      <c r="AO14" s="92"/>
      <c r="AP14" s="92"/>
      <c r="AQ14" s="92"/>
      <c r="AR14" s="92"/>
      <c r="AS14" s="92"/>
      <c r="AT14" s="92"/>
      <c r="AU14" s="92"/>
      <c r="AV14" s="92"/>
      <c r="AW14" s="1"/>
    </row>
    <row r="15" spans="1:49" s="6" customFormat="1" x14ac:dyDescent="0.35">
      <c r="A15" s="104"/>
      <c r="B15" s="92"/>
      <c r="C15" s="92"/>
      <c r="D15" s="92"/>
      <c r="E15" s="92"/>
      <c r="F15" s="92"/>
      <c r="G15" s="92"/>
      <c r="I15" s="92"/>
      <c r="J15" s="92"/>
      <c r="K15" s="92"/>
      <c r="L15" s="92"/>
      <c r="M15" s="92"/>
      <c r="N15" s="92"/>
      <c r="O15" s="92"/>
      <c r="P15" s="92"/>
      <c r="R15" s="92"/>
      <c r="S15" s="92"/>
      <c r="T15" s="92"/>
      <c r="U15" s="92"/>
      <c r="V15" s="92"/>
      <c r="W15" s="92"/>
      <c r="X15" s="92"/>
      <c r="Y15" s="92"/>
      <c r="Z15" s="92"/>
      <c r="AA15" s="95"/>
      <c r="AB15" s="92"/>
      <c r="AC15" s="92"/>
      <c r="AD15" s="92"/>
      <c r="AE15" s="92"/>
      <c r="AF15" s="92"/>
      <c r="AG15" s="92"/>
      <c r="AH15" s="92"/>
      <c r="AI15" s="92"/>
      <c r="AJ15" s="92"/>
      <c r="AK15" s="92"/>
      <c r="AL15" s="92"/>
      <c r="AM15" s="92"/>
      <c r="AN15" s="92"/>
      <c r="AO15" s="92"/>
      <c r="AP15" s="92"/>
      <c r="AQ15" s="92"/>
      <c r="AR15" s="92"/>
      <c r="AS15" s="92"/>
      <c r="AT15" s="92"/>
      <c r="AU15" s="92"/>
      <c r="AV15" s="92"/>
    </row>
    <row r="16" spans="1:49" s="6" customFormat="1" ht="15" customHeight="1" x14ac:dyDescent="0.35">
      <c r="A16" s="92"/>
      <c r="B16" s="92"/>
      <c r="C16" s="92"/>
      <c r="D16" s="92"/>
      <c r="E16" s="92"/>
      <c r="F16" s="92"/>
      <c r="G16" s="92"/>
      <c r="I16" s="92"/>
      <c r="J16" s="92"/>
      <c r="K16" s="92"/>
      <c r="L16" s="92"/>
      <c r="M16" s="92"/>
      <c r="N16" s="92"/>
      <c r="O16" s="92"/>
      <c r="P16" s="92"/>
      <c r="Q16" s="104"/>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row>
    <row r="17" spans="1:49" s="6" customFormat="1" ht="15" customHeight="1" x14ac:dyDescent="0.35">
      <c r="A17" s="92"/>
      <c r="B17" s="92"/>
      <c r="C17" s="92"/>
      <c r="D17" s="92"/>
      <c r="E17" s="92"/>
      <c r="F17" s="92"/>
      <c r="G17" s="92"/>
      <c r="H17" s="104"/>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row>
    <row r="18" spans="1:49" s="6" customFormat="1" ht="15.75" customHeight="1" x14ac:dyDescent="0.35">
      <c r="A18" s="2731" t="s">
        <v>7</v>
      </c>
      <c r="B18" s="2732"/>
      <c r="C18" s="2732"/>
      <c r="D18" s="2732"/>
      <c r="E18" s="2732"/>
      <c r="F18" s="2732"/>
      <c r="G18" s="2732"/>
      <c r="H18" s="2732"/>
      <c r="I18" s="2732"/>
      <c r="J18" s="2732"/>
      <c r="K18" s="2732"/>
      <c r="L18" s="2732"/>
      <c r="M18" s="2732"/>
      <c r="N18" s="2732"/>
      <c r="O18" s="2732"/>
      <c r="P18" s="2732"/>
      <c r="Q18" s="2732"/>
      <c r="R18" s="2732"/>
      <c r="S18" s="2732"/>
      <c r="T18" s="2732"/>
      <c r="U18" s="2732"/>
      <c r="V18" s="2732"/>
      <c r="W18" s="2732"/>
      <c r="X18" s="2732"/>
      <c r="Y18" s="2732"/>
      <c r="Z18" s="2732"/>
      <c r="AA18" s="2732"/>
      <c r="AB18" s="2732"/>
      <c r="AC18" s="2732"/>
      <c r="AD18" s="2732"/>
      <c r="AE18" s="2732"/>
      <c r="AF18" s="2732"/>
      <c r="AG18" s="2732"/>
      <c r="AH18" s="2732"/>
      <c r="AI18" s="2732"/>
      <c r="AJ18" s="2732"/>
      <c r="AK18" s="2732"/>
      <c r="AL18" s="2732"/>
      <c r="AM18" s="2732"/>
      <c r="AN18" s="2732"/>
      <c r="AO18" s="2732"/>
      <c r="AP18" s="2732"/>
      <c r="AQ18" s="2732"/>
      <c r="AR18" s="2732"/>
      <c r="AS18" s="2732"/>
      <c r="AT18" s="2732"/>
      <c r="AU18" s="2732"/>
      <c r="AV18" s="2732"/>
      <c r="AW18" s="2733"/>
    </row>
    <row r="19" spans="1:49" ht="12" customHeight="1" x14ac:dyDescent="0.35">
      <c r="A19" s="2714" t="s">
        <v>8</v>
      </c>
      <c r="B19" s="2715"/>
      <c r="C19" s="2715"/>
      <c r="D19" s="2715"/>
      <c r="E19" s="2715"/>
      <c r="F19" s="2715"/>
      <c r="G19" s="2715"/>
      <c r="H19" s="2715"/>
      <c r="I19" s="2715"/>
      <c r="J19" s="2715"/>
      <c r="K19" s="2715"/>
      <c r="L19" s="2715"/>
      <c r="M19" s="2715"/>
      <c r="N19" s="2715"/>
      <c r="O19" s="2715"/>
      <c r="P19" s="2715"/>
      <c r="Q19" s="2715"/>
      <c r="R19" s="2715"/>
      <c r="S19" s="2715"/>
      <c r="T19" s="2715"/>
      <c r="U19" s="2715"/>
      <c r="V19" s="2715"/>
      <c r="W19" s="2715"/>
      <c r="X19" s="2715"/>
      <c r="Y19" s="2715"/>
      <c r="Z19" s="2715"/>
      <c r="AA19" s="2715"/>
      <c r="AB19" s="2715"/>
      <c r="AC19" s="2715"/>
      <c r="AD19" s="2715"/>
      <c r="AE19" s="2715"/>
      <c r="AF19" s="2715"/>
      <c r="AG19" s="2715"/>
      <c r="AH19" s="2715"/>
      <c r="AI19" s="2715"/>
      <c r="AJ19" s="2715"/>
      <c r="AK19" s="2715"/>
      <c r="AL19" s="2715"/>
      <c r="AM19" s="2715"/>
      <c r="AN19" s="2715"/>
      <c r="AO19" s="2715"/>
      <c r="AP19" s="2715"/>
      <c r="AQ19" s="2715"/>
      <c r="AR19" s="2715"/>
      <c r="AS19" s="2715"/>
      <c r="AT19" s="2715"/>
      <c r="AU19" s="2715"/>
      <c r="AV19" s="2715"/>
      <c r="AW19" s="2716"/>
    </row>
    <row r="20" spans="1:49" ht="12" customHeight="1" x14ac:dyDescent="0.35">
      <c r="A20" s="2726" t="s">
        <v>9</v>
      </c>
      <c r="B20" s="2727"/>
      <c r="C20" s="2727"/>
      <c r="D20" s="2727"/>
      <c r="E20" s="2727"/>
      <c r="F20" s="2727"/>
      <c r="G20" s="2727"/>
      <c r="H20" s="2727"/>
      <c r="I20" s="2727"/>
      <c r="J20" s="2727"/>
      <c r="K20" s="2727"/>
      <c r="L20" s="2727"/>
      <c r="M20" s="2727"/>
      <c r="N20" s="2727"/>
      <c r="O20" s="2727"/>
      <c r="P20" s="2727"/>
      <c r="Q20" s="2727"/>
      <c r="R20" s="2727"/>
      <c r="S20" s="2727"/>
      <c r="T20" s="2727"/>
      <c r="U20" s="2727"/>
      <c r="V20" s="2727"/>
      <c r="W20" s="2727"/>
      <c r="X20" s="2727"/>
      <c r="Y20" s="2727"/>
      <c r="Z20" s="2727"/>
      <c r="AA20" s="2727"/>
      <c r="AB20" s="2727"/>
      <c r="AC20" s="2727"/>
      <c r="AD20" s="2727"/>
      <c r="AE20" s="2727"/>
      <c r="AF20" s="2727"/>
      <c r="AG20" s="2727"/>
      <c r="AH20" s="2727"/>
      <c r="AI20" s="2727"/>
      <c r="AJ20" s="2727"/>
      <c r="AK20" s="2727"/>
      <c r="AL20" s="2727"/>
      <c r="AM20" s="2727"/>
      <c r="AN20" s="2727"/>
      <c r="AO20" s="2727"/>
      <c r="AP20" s="2727"/>
      <c r="AQ20" s="2727"/>
      <c r="AR20" s="2727"/>
      <c r="AS20" s="2727"/>
      <c r="AT20" s="2727"/>
      <c r="AU20" s="2727"/>
      <c r="AV20" s="2727"/>
      <c r="AW20" s="2728"/>
    </row>
    <row r="21" spans="1:49" ht="12" customHeight="1" x14ac:dyDescent="0.35">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G21" s="93"/>
      <c r="AH21" s="713"/>
      <c r="AI21" s="713"/>
      <c r="AJ21" s="713"/>
      <c r="AK21" s="713"/>
      <c r="AL21" s="713"/>
      <c r="AM21" s="713"/>
      <c r="AN21" s="713"/>
      <c r="AO21" s="713"/>
      <c r="AP21" s="713"/>
      <c r="AQ21" s="713"/>
      <c r="AR21" s="713"/>
      <c r="AS21" s="713"/>
      <c r="AT21" s="713"/>
      <c r="AU21" s="713"/>
      <c r="AV21" s="713"/>
      <c r="AW21" s="714"/>
    </row>
    <row r="22" spans="1:49" ht="12" customHeight="1" x14ac:dyDescent="0.35">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H22" s="97"/>
      <c r="AI22" s="97"/>
      <c r="AJ22" s="97"/>
      <c r="AK22" s="97"/>
      <c r="AL22" s="97"/>
      <c r="AM22" s="97"/>
      <c r="AN22" s="97"/>
      <c r="AO22" s="97"/>
      <c r="AP22" s="97"/>
      <c r="AQ22" s="97"/>
      <c r="AR22" s="97"/>
      <c r="AS22" s="97"/>
      <c r="AT22" s="97"/>
      <c r="AU22" s="97"/>
      <c r="AV22" s="97"/>
      <c r="AW22" s="97"/>
    </row>
    <row r="23" spans="1:49" ht="12" customHeight="1" x14ac:dyDescent="0.35">
      <c r="A23" s="97" t="s">
        <v>10</v>
      </c>
      <c r="B23" s="98"/>
      <c r="C23" s="98"/>
      <c r="D23" s="98"/>
      <c r="E23" s="98"/>
      <c r="F23" s="98"/>
      <c r="G23" s="98"/>
      <c r="H23" s="99"/>
      <c r="I23" s="99"/>
      <c r="J23" s="99"/>
      <c r="K23" s="99"/>
      <c r="L23" s="99"/>
      <c r="M23" s="99"/>
      <c r="N23" s="99"/>
      <c r="O23" s="99"/>
      <c r="P23" s="99"/>
      <c r="Q23" s="99"/>
      <c r="R23" s="99"/>
      <c r="S23" s="99"/>
      <c r="T23" s="99"/>
      <c r="U23" s="99"/>
      <c r="V23" s="99"/>
      <c r="W23" s="99"/>
      <c r="X23" s="98"/>
      <c r="Y23" s="98"/>
      <c r="Z23" s="98"/>
      <c r="AA23" s="96"/>
      <c r="AB23" s="96"/>
      <c r="AC23" s="96"/>
      <c r="AG23" s="1582"/>
      <c r="AH23" s="1583"/>
      <c r="AI23" s="1583"/>
      <c r="AJ23" s="1583"/>
      <c r="AK23" s="1583"/>
      <c r="AL23" s="1583"/>
      <c r="AM23" s="1583"/>
      <c r="AN23" s="1583"/>
      <c r="AO23" s="1583"/>
      <c r="AP23" s="1583"/>
      <c r="AQ23" s="1583"/>
      <c r="AR23" s="1583"/>
      <c r="AS23" s="1583"/>
      <c r="AT23" s="1583"/>
      <c r="AU23" s="1583"/>
      <c r="AV23" s="1583"/>
      <c r="AW23" s="1584"/>
    </row>
    <row r="24" spans="1:49" x14ac:dyDescent="0.35">
      <c r="A24" s="97"/>
      <c r="B24" s="98"/>
      <c r="C24" s="98"/>
      <c r="D24" s="98"/>
      <c r="E24" s="98"/>
      <c r="F24" s="98"/>
      <c r="G24" s="98"/>
      <c r="H24" s="99"/>
      <c r="I24" s="99"/>
      <c r="J24" s="99"/>
      <c r="K24" s="99"/>
      <c r="L24" s="99"/>
      <c r="M24" s="99"/>
      <c r="N24" s="99"/>
      <c r="O24" s="99"/>
      <c r="P24" s="99"/>
      <c r="Q24" s="99"/>
      <c r="R24" s="99"/>
      <c r="S24" s="99"/>
      <c r="T24" s="99"/>
      <c r="U24" s="99"/>
      <c r="V24" s="99"/>
      <c r="W24" s="99"/>
      <c r="X24" s="98"/>
      <c r="Y24" s="98"/>
      <c r="Z24" s="98"/>
      <c r="AA24" s="96"/>
      <c r="AB24" s="96"/>
      <c r="AC24" s="96"/>
      <c r="AG24" s="1596">
        <v>1</v>
      </c>
      <c r="AH24" s="9" t="s">
        <v>11</v>
      </c>
      <c r="AI24" s="1581"/>
      <c r="AJ24" s="1581"/>
      <c r="AK24" s="1581"/>
      <c r="AL24" s="1581"/>
      <c r="AM24" s="1581"/>
      <c r="AN24" s="1581"/>
      <c r="AO24" s="1581"/>
      <c r="AP24" s="1581"/>
      <c r="AQ24" s="1581"/>
      <c r="AR24" s="1581"/>
      <c r="AS24" s="1581"/>
      <c r="AT24" s="1581"/>
      <c r="AU24" s="1581"/>
      <c r="AV24" s="1581"/>
      <c r="AW24" s="1586"/>
    </row>
    <row r="25" spans="1:49" ht="20.25" customHeight="1" x14ac:dyDescent="0.35">
      <c r="A25" s="98"/>
      <c r="B25" s="98"/>
      <c r="C25" s="98"/>
      <c r="D25" s="98"/>
      <c r="E25" s="98"/>
      <c r="F25" s="98"/>
      <c r="G25" s="98"/>
      <c r="H25" s="99"/>
      <c r="I25" s="99"/>
      <c r="J25" s="99"/>
      <c r="K25" s="99"/>
      <c r="L25" s="99"/>
      <c r="M25" s="99"/>
      <c r="N25" s="99"/>
      <c r="O25" s="99"/>
      <c r="P25" s="99"/>
      <c r="Q25" s="99"/>
      <c r="R25" s="99"/>
      <c r="S25" s="99"/>
      <c r="T25" s="99"/>
      <c r="U25" s="99"/>
      <c r="V25" s="99"/>
      <c r="W25" s="99"/>
      <c r="X25" s="98"/>
      <c r="Y25" s="98"/>
      <c r="Z25" s="98"/>
      <c r="AG25" s="1585"/>
      <c r="AH25" s="1587">
        <v>1</v>
      </c>
      <c r="AI25" s="1581" t="s">
        <v>12</v>
      </c>
      <c r="AJ25" s="1581"/>
      <c r="AK25" s="1581"/>
      <c r="AL25" s="1581"/>
      <c r="AM25" s="1581"/>
      <c r="AN25" s="2739"/>
      <c r="AO25" s="2739"/>
      <c r="AP25" s="1581"/>
      <c r="AQ25" s="1581"/>
      <c r="AR25" s="1581"/>
      <c r="AS25" s="1581"/>
      <c r="AT25" s="1581"/>
      <c r="AU25" s="1581"/>
      <c r="AV25" s="1581"/>
      <c r="AW25" s="1586"/>
    </row>
    <row r="26" spans="1:49" ht="15" customHeight="1" x14ac:dyDescent="0.35">
      <c r="A26" s="98" t="s">
        <v>13</v>
      </c>
      <c r="B26" s="98"/>
      <c r="C26" s="98"/>
      <c r="D26" s="98"/>
      <c r="E26" s="98"/>
      <c r="F26" s="98"/>
      <c r="G26" s="98"/>
      <c r="H26" s="2734" t="s">
        <v>14</v>
      </c>
      <c r="I26" s="2735"/>
      <c r="L26" s="2706"/>
      <c r="M26" s="2707"/>
      <c r="N26" s="2706"/>
      <c r="O26" s="2707"/>
      <c r="P26" s="2708"/>
      <c r="Q26" s="2709"/>
      <c r="R26" s="105"/>
      <c r="S26" s="109"/>
      <c r="T26" s="2708"/>
      <c r="U26" s="2709"/>
      <c r="V26" s="687"/>
      <c r="W26" s="687"/>
      <c r="X26" s="2708"/>
      <c r="Y26" s="2709"/>
      <c r="Z26" s="2708"/>
      <c r="AA26" s="2709"/>
      <c r="AB26" s="2712"/>
      <c r="AC26" s="2713"/>
      <c r="AD26" s="93"/>
      <c r="AE26" s="93"/>
      <c r="AG26" s="1585"/>
      <c r="AH26" s="1587">
        <v>2</v>
      </c>
      <c r="AI26" s="1581" t="s">
        <v>15</v>
      </c>
      <c r="AJ26" s="1587"/>
      <c r="AK26" s="1587"/>
      <c r="AL26" s="1587"/>
      <c r="AM26" s="1587"/>
      <c r="AN26" s="2739"/>
      <c r="AO26" s="2739"/>
      <c r="AP26" s="1581"/>
      <c r="AQ26" s="1581"/>
      <c r="AR26" s="1581"/>
      <c r="AS26" s="1581"/>
      <c r="AT26" s="1581"/>
      <c r="AU26" s="1581"/>
      <c r="AV26" s="1581"/>
      <c r="AW26" s="1586"/>
    </row>
    <row r="27" spans="1:49" x14ac:dyDescent="0.35">
      <c r="A27" s="97"/>
      <c r="B27" s="98"/>
      <c r="C27" s="98"/>
      <c r="D27" s="98"/>
      <c r="E27" s="98"/>
      <c r="F27" s="98"/>
      <c r="G27" s="98"/>
      <c r="H27" s="98"/>
      <c r="I27" s="98"/>
      <c r="J27" s="98"/>
      <c r="K27" s="98"/>
      <c r="L27" s="98"/>
      <c r="M27" s="98"/>
      <c r="N27" s="98"/>
      <c r="O27" s="98"/>
      <c r="P27" s="98"/>
      <c r="Q27" s="98"/>
      <c r="R27" s="98"/>
      <c r="S27" s="98"/>
      <c r="T27" s="98"/>
      <c r="U27" s="98"/>
      <c r="V27" s="98"/>
      <c r="W27" s="98"/>
      <c r="X27" s="98"/>
      <c r="Y27" s="98"/>
      <c r="Z27" s="98"/>
      <c r="AG27" s="1588"/>
      <c r="AH27" s="1581"/>
      <c r="AI27" s="1581"/>
      <c r="AJ27" s="1581"/>
      <c r="AK27" s="1581"/>
      <c r="AL27" s="1581"/>
      <c r="AM27" s="1581"/>
      <c r="AN27" s="1587"/>
      <c r="AO27" s="1587"/>
      <c r="AP27" s="1587"/>
      <c r="AQ27" s="1587"/>
      <c r="AR27" s="1587"/>
      <c r="AS27" s="1587"/>
      <c r="AT27" s="1587"/>
      <c r="AU27" s="1587"/>
      <c r="AV27" s="1587"/>
      <c r="AW27" s="1589"/>
    </row>
    <row r="28" spans="1:49" x14ac:dyDescent="0.35">
      <c r="A28" s="98" t="s">
        <v>16</v>
      </c>
      <c r="B28" s="98"/>
      <c r="C28" s="98"/>
      <c r="D28" s="98"/>
      <c r="E28" s="98"/>
      <c r="F28" s="98"/>
      <c r="G28" s="98"/>
      <c r="H28" s="2734" t="s">
        <v>17</v>
      </c>
      <c r="I28" s="2735"/>
      <c r="L28" s="2706"/>
      <c r="M28" s="2707"/>
      <c r="N28" s="2710"/>
      <c r="O28" s="2711"/>
      <c r="P28" s="2708"/>
      <c r="Q28" s="2709"/>
      <c r="R28" s="105"/>
      <c r="S28" s="109"/>
      <c r="T28" s="2708"/>
      <c r="U28" s="2709"/>
      <c r="V28" s="687"/>
      <c r="W28" s="687"/>
      <c r="X28" s="2708"/>
      <c r="Y28" s="2709"/>
      <c r="Z28" s="2708"/>
      <c r="AA28" s="2709"/>
      <c r="AB28" s="2712"/>
      <c r="AC28" s="2713"/>
      <c r="AD28" s="93"/>
      <c r="AE28" s="93"/>
      <c r="AG28" s="1597">
        <v>2</v>
      </c>
      <c r="AH28" s="1580" t="s">
        <v>18</v>
      </c>
      <c r="AI28" s="1587"/>
      <c r="AJ28" s="1587"/>
      <c r="AK28" s="1587"/>
      <c r="AL28" s="1587"/>
      <c r="AM28" s="1587"/>
      <c r="AN28" s="1587"/>
      <c r="AO28" s="1587"/>
      <c r="AP28" s="1587"/>
      <c r="AQ28" s="1587"/>
      <c r="AR28" s="1587"/>
      <c r="AS28" s="1587"/>
      <c r="AT28" s="1587"/>
      <c r="AU28" s="1587"/>
      <c r="AV28" s="1587"/>
      <c r="AW28" s="1589"/>
    </row>
    <row r="29" spans="1:49" x14ac:dyDescent="0.35">
      <c r="A29" s="98"/>
      <c r="B29" s="98"/>
      <c r="C29" s="98"/>
      <c r="D29" s="98"/>
      <c r="E29" s="98"/>
      <c r="F29" s="98"/>
      <c r="G29" s="98"/>
      <c r="H29" s="98"/>
      <c r="I29" s="98"/>
      <c r="J29" s="108"/>
      <c r="K29" s="108"/>
      <c r="L29" s="99"/>
      <c r="M29" s="107"/>
      <c r="N29" s="107"/>
      <c r="O29" s="101"/>
      <c r="P29" s="99"/>
      <c r="Q29" s="101"/>
      <c r="R29" s="106"/>
      <c r="S29" s="106"/>
      <c r="T29" s="106"/>
      <c r="U29" s="106"/>
      <c r="V29" s="106"/>
      <c r="W29" s="106"/>
      <c r="X29" s="106"/>
      <c r="Y29" s="106"/>
      <c r="Z29" s="101"/>
      <c r="AG29" s="1588"/>
      <c r="AH29" s="1587">
        <v>1</v>
      </c>
      <c r="AI29" s="1581" t="s">
        <v>19</v>
      </c>
      <c r="AJ29" s="1581"/>
      <c r="AK29" s="1581"/>
      <c r="AL29" s="1581"/>
      <c r="AM29" s="1581"/>
      <c r="AN29" s="1581"/>
      <c r="AO29" s="1581"/>
      <c r="AP29" s="1581"/>
      <c r="AQ29" s="1581"/>
      <c r="AR29" s="1581"/>
      <c r="AS29" s="1587"/>
      <c r="AT29" s="1587"/>
      <c r="AU29" s="1587"/>
      <c r="AV29" s="1587"/>
      <c r="AW29" s="1589"/>
    </row>
    <row r="30" spans="1:49" x14ac:dyDescent="0.35">
      <c r="A30" s="98"/>
      <c r="B30" s="98"/>
      <c r="C30" s="98"/>
      <c r="D30" s="98"/>
      <c r="E30" s="98"/>
      <c r="F30" s="98"/>
      <c r="G30" s="98"/>
      <c r="H30" s="98"/>
      <c r="I30" s="98"/>
      <c r="J30" s="98"/>
      <c r="K30" s="98"/>
      <c r="L30" s="99"/>
      <c r="M30" s="100"/>
      <c r="N30" s="100"/>
      <c r="O30" s="101"/>
      <c r="P30" s="99"/>
      <c r="Q30" s="101"/>
      <c r="R30" s="101"/>
      <c r="S30" s="101"/>
      <c r="T30" s="101"/>
      <c r="U30" s="101"/>
      <c r="V30" s="101"/>
      <c r="W30" s="101"/>
      <c r="X30" s="101"/>
      <c r="Y30" s="101"/>
      <c r="Z30" s="101"/>
      <c r="AG30" s="1588"/>
      <c r="AH30" s="1587">
        <v>2</v>
      </c>
      <c r="AI30" s="1581" t="s">
        <v>20</v>
      </c>
      <c r="AJ30" s="1587"/>
      <c r="AK30" s="1587"/>
      <c r="AL30" s="1587"/>
      <c r="AM30" s="1587"/>
      <c r="AN30" s="1587"/>
      <c r="AO30" s="1587"/>
      <c r="AP30" s="1587"/>
      <c r="AQ30" s="1587"/>
      <c r="AR30" s="1587"/>
      <c r="AS30" s="1587"/>
      <c r="AT30" s="1587"/>
      <c r="AU30" s="1587"/>
      <c r="AV30" s="1587"/>
      <c r="AW30" s="1589"/>
    </row>
    <row r="31" spans="1:49" ht="16" thickBot="1" x14ac:dyDescent="0.4">
      <c r="B31" s="95" t="s">
        <v>21</v>
      </c>
      <c r="N31" s="93"/>
      <c r="O31" s="102"/>
      <c r="P31" s="102"/>
      <c r="Q31" s="102"/>
      <c r="R31" s="102"/>
      <c r="S31" s="102"/>
      <c r="T31" s="102"/>
      <c r="U31" s="102"/>
      <c r="V31" s="102"/>
      <c r="W31" s="102"/>
      <c r="X31" s="102"/>
      <c r="Y31" s="102"/>
      <c r="Z31" s="102"/>
      <c r="AA31" s="102"/>
      <c r="AB31" s="102"/>
      <c r="AC31" s="102"/>
      <c r="AG31" s="1585"/>
      <c r="AH31" s="1581">
        <v>3</v>
      </c>
      <c r="AI31" s="1581" t="s">
        <v>22</v>
      </c>
      <c r="AJ31" s="1581"/>
      <c r="AK31" s="1581"/>
      <c r="AL31" s="1581"/>
      <c r="AM31" s="1581"/>
      <c r="AN31" s="1581"/>
      <c r="AO31" s="1581"/>
      <c r="AP31" s="1581"/>
      <c r="AQ31" s="1581"/>
      <c r="AR31" s="1581"/>
      <c r="AS31" s="1581"/>
      <c r="AT31" s="1581"/>
      <c r="AU31" s="1581"/>
      <c r="AV31" s="1581"/>
      <c r="AW31" s="1586"/>
    </row>
    <row r="32" spans="1:49" x14ac:dyDescent="0.35">
      <c r="B32" s="95"/>
      <c r="AG32" s="1590"/>
      <c r="AH32" s="1591"/>
      <c r="AI32" s="1591"/>
      <c r="AJ32" s="1591"/>
      <c r="AK32" s="1591"/>
      <c r="AL32" s="1591"/>
      <c r="AM32" s="1591"/>
      <c r="AN32" s="1591"/>
      <c r="AO32" s="1591"/>
      <c r="AP32" s="1591"/>
      <c r="AQ32" s="1591"/>
      <c r="AR32" s="1591"/>
      <c r="AS32" s="1591"/>
      <c r="AT32" s="1591"/>
      <c r="AU32" s="1591"/>
      <c r="AV32" s="1591"/>
      <c r="AW32" s="1592"/>
    </row>
    <row r="33" spans="1:49" ht="16" thickBot="1" x14ac:dyDescent="0.4">
      <c r="B33" s="95" t="s">
        <v>23</v>
      </c>
      <c r="N33" s="102"/>
      <c r="O33" s="102"/>
      <c r="P33" s="102"/>
      <c r="Q33" s="102"/>
      <c r="R33" s="102"/>
      <c r="S33" s="102"/>
      <c r="T33" s="102"/>
      <c r="U33" s="102"/>
      <c r="V33" s="102"/>
      <c r="W33" s="102"/>
      <c r="X33" s="102"/>
      <c r="Y33" s="102"/>
      <c r="Z33" s="102"/>
      <c r="AA33" s="102"/>
      <c r="AB33" s="102"/>
      <c r="AC33" s="102"/>
      <c r="AG33" s="1593"/>
      <c r="AH33" s="1594"/>
      <c r="AI33" s="1594"/>
      <c r="AJ33" s="1594"/>
      <c r="AK33" s="1594"/>
      <c r="AL33" s="1594"/>
      <c r="AM33" s="1594"/>
      <c r="AN33" s="1594"/>
      <c r="AO33" s="1594"/>
      <c r="AP33" s="1594"/>
      <c r="AQ33" s="1594"/>
      <c r="AR33" s="1594"/>
      <c r="AS33" s="1594"/>
      <c r="AT33" s="1594"/>
      <c r="AU33" s="1594"/>
      <c r="AV33" s="1594"/>
      <c r="AW33" s="1595"/>
    </row>
    <row r="34" spans="1:49" x14ac:dyDescent="0.35">
      <c r="B34" s="95"/>
      <c r="N34" s="93"/>
      <c r="O34" s="93"/>
      <c r="P34" s="93"/>
      <c r="Q34" s="93"/>
      <c r="R34" s="93"/>
      <c r="S34" s="93"/>
      <c r="T34" s="93"/>
      <c r="U34" s="93"/>
      <c r="V34" s="93"/>
      <c r="W34" s="93"/>
      <c r="X34" s="93"/>
      <c r="Y34" s="93"/>
      <c r="Z34" s="93"/>
      <c r="AA34" s="93"/>
      <c r="AB34" s="93"/>
      <c r="AC34" s="93"/>
      <c r="AG34" s="576"/>
      <c r="AH34" s="576"/>
      <c r="AI34" s="576"/>
      <c r="AJ34" s="576"/>
      <c r="AK34" s="576"/>
      <c r="AL34" s="576"/>
      <c r="AM34" s="576"/>
      <c r="AN34" s="576"/>
      <c r="AO34" s="576"/>
      <c r="AP34" s="576"/>
      <c r="AQ34" s="576"/>
      <c r="AR34" s="576"/>
      <c r="AS34" s="576"/>
      <c r="AT34" s="576"/>
      <c r="AU34" s="576"/>
      <c r="AV34" s="576"/>
      <c r="AW34" s="576"/>
    </row>
    <row r="35" spans="1:49" x14ac:dyDescent="0.35">
      <c r="B35" s="95"/>
      <c r="N35" s="93"/>
      <c r="O35" s="93"/>
      <c r="P35" s="93"/>
      <c r="Q35" s="93"/>
      <c r="R35" s="93"/>
      <c r="S35" s="93"/>
      <c r="T35" s="93"/>
      <c r="U35" s="93"/>
      <c r="V35" s="93"/>
      <c r="W35" s="93"/>
      <c r="X35" s="93"/>
      <c r="Y35" s="93"/>
      <c r="Z35" s="93"/>
      <c r="AA35" s="93"/>
      <c r="AB35" s="93"/>
      <c r="AC35" s="93"/>
      <c r="AG35" s="576"/>
      <c r="AH35" s="576"/>
      <c r="AI35" s="576"/>
      <c r="AJ35" s="576"/>
      <c r="AK35" s="576"/>
      <c r="AL35" s="576"/>
      <c r="AM35" s="576"/>
      <c r="AN35" s="576"/>
      <c r="AO35" s="576"/>
      <c r="AP35" s="576"/>
      <c r="AQ35" s="576"/>
      <c r="AR35" s="576"/>
      <c r="AS35" s="576"/>
      <c r="AT35" s="576"/>
      <c r="AU35" s="576"/>
      <c r="AV35" s="576"/>
      <c r="AW35" s="576"/>
    </row>
    <row r="36" spans="1:49" x14ac:dyDescent="0.35">
      <c r="B36" s="95"/>
      <c r="N36" s="93"/>
      <c r="O36" s="93"/>
      <c r="P36" s="93"/>
      <c r="Q36" s="93"/>
      <c r="R36" s="93"/>
      <c r="S36" s="93"/>
      <c r="T36" s="93"/>
      <c r="U36" s="93"/>
      <c r="V36" s="93"/>
      <c r="W36" s="93"/>
      <c r="X36" s="93"/>
      <c r="Y36" s="93"/>
      <c r="Z36" s="93"/>
      <c r="AA36" s="93"/>
      <c r="AB36" s="93"/>
      <c r="AC36" s="93"/>
      <c r="AG36" s="670"/>
      <c r="AH36" s="581"/>
      <c r="AI36" s="93"/>
      <c r="AJ36" s="581"/>
      <c r="AK36" s="581"/>
      <c r="AL36" s="93"/>
      <c r="AM36" s="581"/>
      <c r="AN36" s="581"/>
      <c r="AO36" s="581"/>
      <c r="AP36" s="581"/>
      <c r="AQ36" s="581"/>
      <c r="AR36" s="581"/>
      <c r="AS36" s="581"/>
      <c r="AT36" s="581"/>
      <c r="AU36" s="581"/>
      <c r="AV36" s="581"/>
      <c r="AW36" s="670"/>
    </row>
    <row r="37" spans="1:49" x14ac:dyDescent="0.35">
      <c r="B37" s="95"/>
      <c r="N37" s="93"/>
      <c r="O37" s="93"/>
      <c r="P37" s="93"/>
      <c r="Q37" s="93"/>
      <c r="R37" s="93"/>
      <c r="S37" s="93"/>
      <c r="T37" s="93"/>
      <c r="U37" s="93"/>
      <c r="V37" s="93"/>
      <c r="W37" s="93"/>
      <c r="X37" s="93"/>
      <c r="Y37" s="93"/>
      <c r="Z37" s="93"/>
      <c r="AA37" s="93"/>
      <c r="AB37" s="93"/>
      <c r="AC37" s="93"/>
      <c r="AG37" s="670"/>
      <c r="AH37" s="581"/>
      <c r="AI37" s="93"/>
      <c r="AJ37" s="581"/>
      <c r="AK37" s="581"/>
      <c r="AL37" s="93"/>
      <c r="AM37" s="581"/>
      <c r="AN37" s="581"/>
      <c r="AO37" s="581"/>
      <c r="AP37" s="581"/>
      <c r="AQ37" s="581"/>
      <c r="AR37" s="581"/>
      <c r="AS37" s="581"/>
      <c r="AT37" s="581"/>
      <c r="AU37" s="581"/>
      <c r="AV37" s="581"/>
      <c r="AW37" s="670"/>
    </row>
    <row r="38" spans="1:49" x14ac:dyDescent="0.35">
      <c r="A38" s="2705" t="s">
        <v>24</v>
      </c>
      <c r="B38" s="2705"/>
      <c r="C38" s="2705"/>
      <c r="D38" s="2705"/>
      <c r="E38" s="2705"/>
      <c r="F38" s="2705"/>
      <c r="G38" s="2705"/>
      <c r="H38" s="2705"/>
      <c r="I38" s="2705"/>
      <c r="J38" s="2705"/>
      <c r="K38" s="2705"/>
      <c r="L38" s="2705"/>
      <c r="M38" s="2705"/>
      <c r="N38" s="2705"/>
      <c r="O38" s="2705"/>
      <c r="P38" s="2705"/>
      <c r="Q38" s="2705"/>
      <c r="R38" s="2705"/>
      <c r="S38" s="2705"/>
      <c r="T38" s="2705"/>
      <c r="U38" s="2705"/>
      <c r="V38" s="2705"/>
      <c r="W38" s="2705"/>
      <c r="X38" s="2705"/>
      <c r="Y38" s="2705"/>
      <c r="Z38" s="2705"/>
      <c r="AA38" s="2705"/>
      <c r="AB38" s="2705"/>
      <c r="AC38" s="2705"/>
      <c r="AD38" s="2705"/>
      <c r="AE38" s="2705"/>
      <c r="AF38" s="2705"/>
      <c r="AG38" s="2705"/>
      <c r="AH38" s="2705"/>
      <c r="AI38" s="2705"/>
      <c r="AJ38" s="2705"/>
      <c r="AK38" s="2705"/>
      <c r="AL38" s="2705"/>
      <c r="AM38" s="2705"/>
      <c r="AN38" s="2705"/>
      <c r="AO38" s="2705"/>
      <c r="AP38" s="2705"/>
      <c r="AQ38" s="2705"/>
      <c r="AR38" s="2705"/>
      <c r="AS38" s="2705"/>
      <c r="AT38" s="2705"/>
      <c r="AU38" s="2705"/>
      <c r="AV38" s="2705"/>
      <c r="AW38" s="2705"/>
    </row>
    <row r="39" spans="1:49" x14ac:dyDescent="0.35">
      <c r="A39" s="2705"/>
      <c r="B39" s="2705"/>
      <c r="C39" s="2705"/>
      <c r="D39" s="2705"/>
      <c r="E39" s="2705"/>
      <c r="F39" s="2705"/>
      <c r="G39" s="2705"/>
      <c r="H39" s="2705"/>
      <c r="I39" s="2705"/>
      <c r="J39" s="2705"/>
      <c r="K39" s="2705"/>
      <c r="L39" s="2705"/>
      <c r="M39" s="2705"/>
      <c r="N39" s="2705"/>
      <c r="O39" s="2705"/>
      <c r="P39" s="2705"/>
      <c r="Q39" s="2705"/>
      <c r="R39" s="2705"/>
      <c r="S39" s="2705"/>
      <c r="T39" s="2705"/>
      <c r="U39" s="2705"/>
      <c r="V39" s="2705"/>
      <c r="W39" s="2705"/>
      <c r="X39" s="2705"/>
      <c r="Y39" s="2705"/>
      <c r="Z39" s="2705"/>
      <c r="AA39" s="2705"/>
      <c r="AB39" s="2705"/>
      <c r="AC39" s="2705"/>
      <c r="AD39" s="2705"/>
      <c r="AE39" s="2705"/>
      <c r="AF39" s="2705"/>
      <c r="AG39" s="2705"/>
      <c r="AH39" s="2705"/>
      <c r="AI39" s="2705"/>
      <c r="AJ39" s="2705"/>
      <c r="AK39" s="2705"/>
      <c r="AL39" s="2705"/>
      <c r="AM39" s="2705"/>
      <c r="AN39" s="2705"/>
      <c r="AO39" s="2705"/>
      <c r="AP39" s="2705"/>
      <c r="AQ39" s="2705"/>
      <c r="AR39" s="2705"/>
      <c r="AS39" s="2705"/>
      <c r="AT39" s="2705"/>
      <c r="AU39" s="2705"/>
      <c r="AV39" s="2705"/>
      <c r="AW39" s="2705"/>
    </row>
  </sheetData>
  <mergeCells count="29">
    <mergeCell ref="A2:AW2"/>
    <mergeCell ref="A6:AW6"/>
    <mergeCell ref="AD12:AF12"/>
    <mergeCell ref="A18:AW18"/>
    <mergeCell ref="X28:Y28"/>
    <mergeCell ref="L28:M28"/>
    <mergeCell ref="H28:I28"/>
    <mergeCell ref="T28:U28"/>
    <mergeCell ref="AB28:AC28"/>
    <mergeCell ref="R11:AF11"/>
    <mergeCell ref="A4:AW4"/>
    <mergeCell ref="Z28:AA28"/>
    <mergeCell ref="T26:U26"/>
    <mergeCell ref="Z26:AA26"/>
    <mergeCell ref="AN25:AO26"/>
    <mergeCell ref="H26:I26"/>
    <mergeCell ref="A19:AW19"/>
    <mergeCell ref="Z12:AC12"/>
    <mergeCell ref="R12:Y12"/>
    <mergeCell ref="AD13:AF13"/>
    <mergeCell ref="A20:AW20"/>
    <mergeCell ref="A38:AW39"/>
    <mergeCell ref="N26:O26"/>
    <mergeCell ref="P26:Q26"/>
    <mergeCell ref="N28:O28"/>
    <mergeCell ref="P28:Q28"/>
    <mergeCell ref="X26:Y26"/>
    <mergeCell ref="AB26:AC26"/>
    <mergeCell ref="L26:M26"/>
  </mergeCells>
  <phoneticPr fontId="0" type="noConversion"/>
  <pageMargins left="0.314" right="0.314" top="0.11799999999999999" bottom="0.27500000000000002" header="0.157" footer="0.11799999999999999"/>
  <pageSetup scale="91" orientation="landscape" r:id="rId1"/>
  <headerFooter>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55"/>
  <sheetViews>
    <sheetView view="pageBreakPreview" zoomScale="120" zoomScaleNormal="120" zoomScaleSheetLayoutView="120" zoomScalePageLayoutView="90" workbookViewId="0">
      <selection activeCell="B5" sqref="B5:B25"/>
    </sheetView>
  </sheetViews>
  <sheetFormatPr defaultColWidth="8.81640625" defaultRowHeight="12.5" x14ac:dyDescent="0.25"/>
  <cols>
    <col min="1" max="1" width="3.453125" style="15" customWidth="1"/>
    <col min="2" max="2" width="7.81640625" style="15" customWidth="1"/>
    <col min="3" max="10" width="14.7265625" style="1026" customWidth="1"/>
    <col min="11" max="11" width="3.453125" style="15" customWidth="1"/>
    <col min="12" max="17" width="15.7265625" style="1026" customWidth="1"/>
  </cols>
  <sheetData>
    <row r="1" spans="1:17" ht="13" x14ac:dyDescent="0.3">
      <c r="A1" s="798" t="s">
        <v>857</v>
      </c>
      <c r="B1" s="798"/>
      <c r="E1" s="2521"/>
      <c r="F1" s="2521"/>
      <c r="G1" s="2521"/>
      <c r="H1" s="2521"/>
      <c r="I1" s="2521"/>
      <c r="J1" s="2521"/>
      <c r="K1" s="798" t="s">
        <v>857</v>
      </c>
      <c r="L1" s="2521"/>
      <c r="M1" s="2521"/>
      <c r="N1" s="2521"/>
      <c r="O1" s="2521"/>
      <c r="P1" s="2521"/>
      <c r="Q1" s="2521"/>
    </row>
    <row r="2" spans="1:17" ht="13" x14ac:dyDescent="0.3">
      <c r="A2" s="1023"/>
      <c r="B2" s="1023"/>
      <c r="C2" s="2521"/>
      <c r="D2" s="2521"/>
      <c r="E2" s="2521"/>
      <c r="F2" s="2521"/>
      <c r="G2" s="2521"/>
      <c r="H2" s="2521"/>
      <c r="I2" s="2521"/>
      <c r="J2" s="2521"/>
      <c r="K2" s="1023"/>
      <c r="L2" s="2521"/>
      <c r="M2" s="2521"/>
      <c r="N2" s="2521"/>
      <c r="O2" s="2521"/>
      <c r="P2" s="2521"/>
      <c r="Q2" s="2521"/>
    </row>
    <row r="3" spans="1:17" ht="13.5" customHeight="1" x14ac:dyDescent="0.3">
      <c r="A3" s="1024"/>
      <c r="B3" s="1024"/>
      <c r="C3" s="1027"/>
      <c r="D3" s="1027"/>
      <c r="E3" s="1027"/>
      <c r="F3" s="1027"/>
      <c r="G3" s="1027"/>
      <c r="H3" s="1027"/>
      <c r="I3" s="1027"/>
      <c r="J3" s="1028"/>
      <c r="K3" s="1024"/>
    </row>
    <row r="4" spans="1:17" ht="13.5" customHeight="1" x14ac:dyDescent="0.25">
      <c r="A4" s="2766" t="s">
        <v>170</v>
      </c>
      <c r="B4" s="799">
        <v>5</v>
      </c>
      <c r="C4" s="800">
        <f>B4+0.01</f>
        <v>5.01</v>
      </c>
      <c r="D4" s="800">
        <f>C4+0.01</f>
        <v>5.0199999999999996</v>
      </c>
      <c r="E4" s="800">
        <f t="shared" ref="E4:P4" si="0">D4+0.01</f>
        <v>5.0299999999999994</v>
      </c>
      <c r="F4" s="800">
        <f t="shared" si="0"/>
        <v>5.0399999999999991</v>
      </c>
      <c r="G4" s="800">
        <f t="shared" si="0"/>
        <v>5.0499999999999989</v>
      </c>
      <c r="H4" s="800">
        <f t="shared" si="0"/>
        <v>5.0599999999999987</v>
      </c>
      <c r="I4" s="800">
        <f t="shared" si="0"/>
        <v>5.0699999999999985</v>
      </c>
      <c r="J4" s="800">
        <f t="shared" si="0"/>
        <v>5.0799999999999983</v>
      </c>
      <c r="K4" s="2766" t="s">
        <v>170</v>
      </c>
      <c r="L4" s="800">
        <f>J4+0.01</f>
        <v>5.0899999999999981</v>
      </c>
      <c r="M4" s="800">
        <f t="shared" si="0"/>
        <v>5.0999999999999979</v>
      </c>
      <c r="N4" s="800">
        <f>M4+0.01</f>
        <v>5.1099999999999977</v>
      </c>
      <c r="O4" s="800">
        <f t="shared" si="0"/>
        <v>5.1199999999999974</v>
      </c>
      <c r="P4" s="2478">
        <f t="shared" si="0"/>
        <v>5.1299999999999972</v>
      </c>
      <c r="Q4" s="800">
        <f>P4+0.01</f>
        <v>5.139999999999997</v>
      </c>
    </row>
    <row r="5" spans="1:17" ht="12.75" customHeight="1" x14ac:dyDescent="0.25">
      <c r="A5" s="2767"/>
      <c r="B5" s="3225" t="s">
        <v>858</v>
      </c>
      <c r="C5" s="3220" t="s">
        <v>859</v>
      </c>
      <c r="D5" s="3220" t="s">
        <v>860</v>
      </c>
      <c r="E5" s="3224" t="s">
        <v>861</v>
      </c>
      <c r="F5" s="3220" t="s">
        <v>862</v>
      </c>
      <c r="G5" s="3221" t="s">
        <v>863</v>
      </c>
      <c r="H5" s="3220" t="s">
        <v>864</v>
      </c>
      <c r="I5" s="3223" t="s">
        <v>865</v>
      </c>
      <c r="J5" s="3220" t="s">
        <v>866</v>
      </c>
      <c r="K5" s="2767"/>
      <c r="L5" s="3221" t="s">
        <v>867</v>
      </c>
      <c r="M5" s="3220" t="s">
        <v>868</v>
      </c>
      <c r="N5" s="3221" t="s">
        <v>869</v>
      </c>
      <c r="O5" s="3220" t="s">
        <v>870</v>
      </c>
      <c r="P5" s="3221" t="s">
        <v>871</v>
      </c>
      <c r="Q5" s="3220" t="s">
        <v>872</v>
      </c>
    </row>
    <row r="6" spans="1:17" ht="12.75" customHeight="1" x14ac:dyDescent="0.25">
      <c r="A6" s="2767"/>
      <c r="B6" s="3226"/>
      <c r="C6" s="2782"/>
      <c r="D6" s="2782"/>
      <c r="E6" s="2825"/>
      <c r="F6" s="2782"/>
      <c r="G6" s="3222"/>
      <c r="H6" s="2782"/>
      <c r="I6" s="2826"/>
      <c r="J6" s="2782"/>
      <c r="K6" s="2767"/>
      <c r="L6" s="3222"/>
      <c r="M6" s="2782"/>
      <c r="N6" s="3222"/>
      <c r="O6" s="2782"/>
      <c r="P6" s="3222"/>
      <c r="Q6" s="2782"/>
    </row>
    <row r="7" spans="1:17" ht="12.75" customHeight="1" x14ac:dyDescent="0.25">
      <c r="A7" s="2767"/>
      <c r="B7" s="3226"/>
      <c r="C7" s="2782"/>
      <c r="D7" s="2782"/>
      <c r="E7" s="2825"/>
      <c r="F7" s="2782"/>
      <c r="G7" s="3222"/>
      <c r="H7" s="2782"/>
      <c r="I7" s="2826"/>
      <c r="J7" s="2782"/>
      <c r="K7" s="2767"/>
      <c r="L7" s="3222"/>
      <c r="M7" s="2782"/>
      <c r="N7" s="3222"/>
      <c r="O7" s="2782"/>
      <c r="P7" s="3222"/>
      <c r="Q7" s="2782"/>
    </row>
    <row r="8" spans="1:17" ht="13.5" customHeight="1" x14ac:dyDescent="0.25">
      <c r="A8" s="2767"/>
      <c r="B8" s="3226"/>
      <c r="C8" s="2782"/>
      <c r="D8" s="2782"/>
      <c r="E8" s="2825"/>
      <c r="F8" s="2782"/>
      <c r="G8" s="3222"/>
      <c r="H8" s="2782"/>
      <c r="I8" s="2826"/>
      <c r="J8" s="2782"/>
      <c r="K8" s="2767"/>
      <c r="L8" s="3222"/>
      <c r="M8" s="2782"/>
      <c r="N8" s="3222"/>
      <c r="O8" s="2782"/>
      <c r="P8" s="3222"/>
      <c r="Q8" s="2782"/>
    </row>
    <row r="9" spans="1:17" ht="12.75" customHeight="1" x14ac:dyDescent="0.25">
      <c r="A9" s="2767"/>
      <c r="B9" s="3226"/>
      <c r="C9" s="2782"/>
      <c r="D9" s="2782"/>
      <c r="E9" s="2825"/>
      <c r="F9" s="2782"/>
      <c r="G9" s="3222"/>
      <c r="H9" s="2782"/>
      <c r="I9" s="2826"/>
      <c r="J9" s="2782"/>
      <c r="K9" s="2767"/>
      <c r="L9" s="3222"/>
      <c r="M9" s="2782"/>
      <c r="N9" s="3222"/>
      <c r="O9" s="2782"/>
      <c r="P9" s="3222"/>
      <c r="Q9" s="2782"/>
    </row>
    <row r="10" spans="1:17" ht="12.75" customHeight="1" x14ac:dyDescent="0.25">
      <c r="A10" s="2767"/>
      <c r="B10" s="3226"/>
      <c r="C10" s="2782"/>
      <c r="D10" s="2782"/>
      <c r="E10" s="2825"/>
      <c r="F10" s="2782"/>
      <c r="G10" s="3222"/>
      <c r="H10" s="2782"/>
      <c r="I10" s="2826"/>
      <c r="J10" s="2782"/>
      <c r="K10" s="2767"/>
      <c r="L10" s="3222"/>
      <c r="M10" s="2782"/>
      <c r="N10" s="3222"/>
      <c r="O10" s="2782"/>
      <c r="P10" s="3222"/>
      <c r="Q10" s="2782"/>
    </row>
    <row r="11" spans="1:17" ht="13.5" customHeight="1" x14ac:dyDescent="0.25">
      <c r="A11" s="2767"/>
      <c r="B11" s="3226"/>
      <c r="C11" s="2782"/>
      <c r="D11" s="2782"/>
      <c r="E11" s="2825"/>
      <c r="F11" s="2782"/>
      <c r="G11" s="3222"/>
      <c r="H11" s="2782"/>
      <c r="I11" s="2826"/>
      <c r="J11" s="2782"/>
      <c r="K11" s="2767"/>
      <c r="L11" s="3222"/>
      <c r="M11" s="2782"/>
      <c r="N11" s="3222"/>
      <c r="O11" s="2782"/>
      <c r="P11" s="3222"/>
      <c r="Q11" s="2782"/>
    </row>
    <row r="12" spans="1:17" ht="13.5" customHeight="1" x14ac:dyDescent="0.25">
      <c r="A12" s="2767"/>
      <c r="B12" s="3226"/>
      <c r="C12" s="2782"/>
      <c r="D12" s="2782"/>
      <c r="E12" s="2825"/>
      <c r="F12" s="2782"/>
      <c r="G12" s="3222"/>
      <c r="H12" s="2782"/>
      <c r="I12" s="2826"/>
      <c r="J12" s="2782"/>
      <c r="K12" s="2767"/>
      <c r="L12" s="3222"/>
      <c r="M12" s="2782"/>
      <c r="N12" s="3222"/>
      <c r="O12" s="2782"/>
      <c r="P12" s="3222"/>
      <c r="Q12" s="2782"/>
    </row>
    <row r="13" spans="1:17" ht="13.5" customHeight="1" x14ac:dyDescent="0.25">
      <c r="A13" s="2767"/>
      <c r="B13" s="3226"/>
      <c r="C13" s="2782"/>
      <c r="D13" s="2782"/>
      <c r="E13" s="2825"/>
      <c r="F13" s="2782"/>
      <c r="G13" s="3222"/>
      <c r="H13" s="2782"/>
      <c r="I13" s="2826"/>
      <c r="J13" s="2782"/>
      <c r="K13" s="2767"/>
      <c r="L13" s="3222"/>
      <c r="M13" s="2782"/>
      <c r="N13" s="3222"/>
      <c r="O13" s="2782"/>
      <c r="P13" s="3222"/>
      <c r="Q13" s="2782"/>
    </row>
    <row r="14" spans="1:17" ht="13.5" customHeight="1" x14ac:dyDescent="0.25">
      <c r="A14" s="2767"/>
      <c r="B14" s="3226"/>
      <c r="C14" s="2782"/>
      <c r="D14" s="2346"/>
      <c r="E14" s="2825"/>
      <c r="F14" s="2346"/>
      <c r="G14" s="3222"/>
      <c r="H14" s="2346"/>
      <c r="I14" s="2826"/>
      <c r="J14" s="2346"/>
      <c r="K14" s="2767"/>
      <c r="L14" s="3222"/>
      <c r="M14" s="2346"/>
      <c r="N14" s="3222"/>
      <c r="O14" s="2346"/>
      <c r="P14" s="3222"/>
      <c r="Q14" s="2346"/>
    </row>
    <row r="15" spans="1:17" ht="12.75" customHeight="1" x14ac:dyDescent="0.25">
      <c r="A15" s="2767"/>
      <c r="B15" s="1397"/>
      <c r="C15" s="2782"/>
      <c r="D15" s="1029"/>
      <c r="E15" s="2825"/>
      <c r="F15" s="1029"/>
      <c r="G15" s="3222"/>
      <c r="H15" s="1029"/>
      <c r="I15" s="2826"/>
      <c r="J15" s="1029"/>
      <c r="K15" s="2767"/>
      <c r="L15" s="3222"/>
      <c r="M15" s="1029"/>
      <c r="N15" s="3222"/>
      <c r="O15" s="1029"/>
      <c r="P15" s="3222"/>
      <c r="Q15" s="1029"/>
    </row>
    <row r="16" spans="1:17" ht="13.5" customHeight="1" x14ac:dyDescent="0.25">
      <c r="A16" s="2767"/>
      <c r="B16" s="1397"/>
      <c r="C16" s="2782"/>
      <c r="D16" s="2468"/>
      <c r="E16" s="2825"/>
      <c r="F16" s="2468"/>
      <c r="G16" s="3222"/>
      <c r="H16" s="2468"/>
      <c r="I16" s="2826"/>
      <c r="J16" s="2468"/>
      <c r="K16" s="2767"/>
      <c r="L16" s="3222"/>
      <c r="M16" s="2468"/>
      <c r="N16" s="3222"/>
      <c r="O16" s="2468"/>
      <c r="P16" s="3222"/>
      <c r="Q16" s="2468"/>
    </row>
    <row r="17" spans="1:17" ht="13.5" customHeight="1" x14ac:dyDescent="0.25">
      <c r="A17" s="2767"/>
      <c r="B17" s="1397"/>
      <c r="C17" s="2782"/>
      <c r="D17" s="2468"/>
      <c r="E17" s="2825"/>
      <c r="F17" s="2468"/>
      <c r="G17" s="3222"/>
      <c r="H17" s="2468"/>
      <c r="I17" s="2826"/>
      <c r="J17" s="2468"/>
      <c r="K17" s="2767"/>
      <c r="L17" s="3222"/>
      <c r="M17" s="2468"/>
      <c r="N17" s="3222"/>
      <c r="O17" s="2468"/>
      <c r="P17" s="3222"/>
      <c r="Q17" s="2468"/>
    </row>
    <row r="18" spans="1:17" ht="13.5" customHeight="1" x14ac:dyDescent="0.25">
      <c r="A18" s="2767"/>
      <c r="B18" s="1397"/>
      <c r="C18" s="2782"/>
      <c r="D18" s="2468"/>
      <c r="E18" s="2825"/>
      <c r="F18" s="2468"/>
      <c r="G18" s="3222"/>
      <c r="H18" s="2468"/>
      <c r="I18" s="2826"/>
      <c r="J18" s="2468"/>
      <c r="K18" s="2767"/>
      <c r="L18" s="3222"/>
      <c r="M18" s="2468"/>
      <c r="N18" s="3222"/>
      <c r="O18" s="2468"/>
      <c r="P18" s="3222"/>
      <c r="Q18" s="2468"/>
    </row>
    <row r="19" spans="1:17" ht="29.25" customHeight="1" x14ac:dyDescent="0.3">
      <c r="A19" s="2767"/>
      <c r="B19" s="1397"/>
      <c r="C19" s="2782"/>
      <c r="D19" s="1634"/>
      <c r="E19" s="2825"/>
      <c r="F19" s="1634"/>
      <c r="G19" s="3222"/>
      <c r="H19" s="1634"/>
      <c r="I19" s="2826"/>
      <c r="J19" s="1634"/>
      <c r="K19" s="2767"/>
      <c r="L19" s="3222"/>
      <c r="M19" s="1634"/>
      <c r="N19" s="3222"/>
      <c r="O19" s="1634"/>
      <c r="P19" s="3222"/>
      <c r="Q19" s="1634"/>
    </row>
    <row r="20" spans="1:17" x14ac:dyDescent="0.25">
      <c r="A20" s="2767"/>
      <c r="B20" s="1397"/>
      <c r="C20" s="2782"/>
      <c r="D20" s="2384"/>
      <c r="E20" s="2351"/>
      <c r="F20" s="2384"/>
      <c r="G20" s="2352"/>
      <c r="H20" s="2384"/>
      <c r="I20" s="2352"/>
      <c r="J20" s="2384"/>
      <c r="K20" s="2767"/>
      <c r="L20" s="2352"/>
      <c r="M20" s="2384"/>
      <c r="N20" s="2352"/>
      <c r="O20" s="2384"/>
      <c r="P20" s="2352"/>
      <c r="Q20" s="2384"/>
    </row>
    <row r="21" spans="1:17" ht="12.75" customHeight="1" x14ac:dyDescent="0.3">
      <c r="A21" s="2767"/>
      <c r="B21" s="1397"/>
      <c r="D21" s="803"/>
      <c r="F21" s="803"/>
      <c r="H21" s="803"/>
      <c r="J21" s="803"/>
      <c r="K21" s="2767"/>
      <c r="M21" s="803"/>
      <c r="O21" s="803"/>
      <c r="Q21" s="803"/>
    </row>
    <row r="22" spans="1:17" x14ac:dyDescent="0.25">
      <c r="A22" s="2767"/>
      <c r="B22" s="1397"/>
      <c r="C22" s="2488" t="s">
        <v>873</v>
      </c>
      <c r="D22" s="2384"/>
      <c r="E22" s="1025" t="s">
        <v>873</v>
      </c>
      <c r="F22" s="2384"/>
      <c r="G22" s="2488" t="s">
        <v>873</v>
      </c>
      <c r="H22" s="2384"/>
      <c r="I22" s="2488" t="s">
        <v>873</v>
      </c>
      <c r="J22" s="2384"/>
      <c r="K22" s="2767"/>
      <c r="L22" s="2488" t="s">
        <v>873</v>
      </c>
      <c r="M22" s="2384"/>
      <c r="N22" s="2488" t="s">
        <v>873</v>
      </c>
      <c r="O22" s="2384"/>
      <c r="P22" s="2488" t="s">
        <v>873</v>
      </c>
      <c r="Q22" s="2384"/>
    </row>
    <row r="23" spans="1:17" x14ac:dyDescent="0.25">
      <c r="A23" s="2767"/>
      <c r="B23" s="1397"/>
      <c r="C23" s="2346" t="str">
        <f>CONCATENATE("2. Non ► (",TEXT(E4,"0.00"),")")</f>
        <v>2. Non ► (5.03)</v>
      </c>
      <c r="D23" s="2384"/>
      <c r="E23" s="2364" t="str">
        <f>CONCATENATE("2. Non ► (",TEXT(G4, "0.00"),")")</f>
        <v>2. Non ► (5.05)</v>
      </c>
      <c r="F23" s="2384"/>
      <c r="G23" s="2466" t="str">
        <f>CONCATENATE("2. Non ► (",TEXT(I4,"0.00"),")")</f>
        <v>2. Non ► (5.07)</v>
      </c>
      <c r="H23" s="2384"/>
      <c r="I23" s="2466" t="str">
        <f>CONCATENATE("2. Non ► (",TEXT(L4,"0.00"),")")</f>
        <v>2. Non ► (5.09)</v>
      </c>
      <c r="J23" s="2384"/>
      <c r="K23" s="2767"/>
      <c r="L23" s="2466" t="str">
        <f>CONCATENATE("2. Non ► (",TEXT(N4,"0.00"),")")</f>
        <v>2. Non ► (5.11)</v>
      </c>
      <c r="M23" s="2384"/>
      <c r="N23" s="2466" t="str">
        <f>CONCATENATE("2. Non ► (",TEXT(P4,"0.00"),")")</f>
        <v>2. Non ► (5.13)</v>
      </c>
      <c r="O23" s="2384"/>
      <c r="P23" s="2466" t="s">
        <v>874</v>
      </c>
      <c r="Q23" s="2384"/>
    </row>
    <row r="24" spans="1:17" x14ac:dyDescent="0.25">
      <c r="A24" s="2767"/>
      <c r="B24" s="1398"/>
      <c r="C24" s="2355"/>
      <c r="D24" s="2431"/>
      <c r="E24" s="2354"/>
      <c r="F24" s="2431"/>
      <c r="G24" s="2355"/>
      <c r="H24" s="2431"/>
      <c r="I24" s="2355"/>
      <c r="J24" s="2431"/>
      <c r="K24" s="2767"/>
      <c r="L24" s="2355"/>
      <c r="M24" s="2431"/>
      <c r="N24" s="2355"/>
      <c r="O24" s="2431"/>
      <c r="P24" s="2355"/>
      <c r="Q24" s="2431"/>
    </row>
    <row r="25" spans="1:17" ht="14.25" customHeight="1" thickBot="1" x14ac:dyDescent="0.3">
      <c r="A25" s="2768"/>
      <c r="B25" s="1340" t="s">
        <v>170</v>
      </c>
      <c r="C25" s="2474" t="s">
        <v>346</v>
      </c>
      <c r="D25" s="1030" t="s">
        <v>353</v>
      </c>
      <c r="E25" s="1042" t="s">
        <v>346</v>
      </c>
      <c r="F25" s="1050" t="s">
        <v>353</v>
      </c>
      <c r="G25" s="1051" t="s">
        <v>346</v>
      </c>
      <c r="H25" s="1050" t="s">
        <v>353</v>
      </c>
      <c r="I25" s="1051" t="s">
        <v>346</v>
      </c>
      <c r="J25" s="1050" t="s">
        <v>353</v>
      </c>
      <c r="K25" s="2768"/>
      <c r="L25" s="1051" t="s">
        <v>346</v>
      </c>
      <c r="M25" s="1050" t="s">
        <v>353</v>
      </c>
      <c r="N25" s="1051" t="s">
        <v>346</v>
      </c>
      <c r="O25" s="1050" t="s">
        <v>353</v>
      </c>
      <c r="P25" s="1051" t="s">
        <v>346</v>
      </c>
      <c r="Q25" s="1050" t="s">
        <v>353</v>
      </c>
    </row>
    <row r="26" spans="1:17" ht="13" thickTop="1" x14ac:dyDescent="0.25">
      <c r="A26" s="59">
        <v>1</v>
      </c>
      <c r="B26" s="805"/>
      <c r="C26" s="1031"/>
      <c r="D26" s="1031"/>
      <c r="E26" s="1043"/>
      <c r="F26" s="806"/>
      <c r="G26" s="1052"/>
      <c r="H26" s="806"/>
      <c r="I26" s="1052"/>
      <c r="J26" s="806"/>
      <c r="K26" s="59">
        <v>1</v>
      </c>
      <c r="L26" s="1052"/>
      <c r="M26" s="806"/>
      <c r="N26" s="1052"/>
      <c r="O26" s="806"/>
      <c r="P26" s="1052"/>
      <c r="Q26" s="806"/>
    </row>
    <row r="27" spans="1:17" x14ac:dyDescent="0.25">
      <c r="A27" s="60">
        <v>2</v>
      </c>
      <c r="B27" s="213"/>
      <c r="C27" s="1032"/>
      <c r="D27" s="1032"/>
      <c r="E27" s="1044"/>
      <c r="F27" s="2542"/>
      <c r="G27" s="1053"/>
      <c r="H27" s="2542"/>
      <c r="I27" s="1053"/>
      <c r="J27" s="2542"/>
      <c r="K27" s="60">
        <v>2</v>
      </c>
      <c r="L27" s="1053"/>
      <c r="M27" s="2542"/>
      <c r="N27" s="1053"/>
      <c r="O27" s="2542"/>
      <c r="P27" s="1053"/>
      <c r="Q27" s="2542"/>
    </row>
    <row r="28" spans="1:17" x14ac:dyDescent="0.25">
      <c r="A28" s="61">
        <v>3</v>
      </c>
      <c r="B28" s="213"/>
      <c r="C28" s="1032"/>
      <c r="D28" s="1032"/>
      <c r="E28" s="1044"/>
      <c r="F28" s="2542"/>
      <c r="G28" s="1053"/>
      <c r="H28" s="2542"/>
      <c r="I28" s="1053"/>
      <c r="J28" s="2542"/>
      <c r="K28" s="61">
        <v>3</v>
      </c>
      <c r="L28" s="1053"/>
      <c r="M28" s="2542"/>
      <c r="N28" s="1053"/>
      <c r="O28" s="2542"/>
      <c r="P28" s="1053"/>
      <c r="Q28" s="2542"/>
    </row>
    <row r="29" spans="1:17" x14ac:dyDescent="0.25">
      <c r="A29" s="61">
        <v>4</v>
      </c>
      <c r="B29" s="213"/>
      <c r="C29" s="1032"/>
      <c r="D29" s="1032"/>
      <c r="E29" s="1044"/>
      <c r="F29" s="2542"/>
      <c r="G29" s="1053"/>
      <c r="H29" s="2542"/>
      <c r="I29" s="1053"/>
      <c r="J29" s="2542"/>
      <c r="K29" s="61">
        <v>4</v>
      </c>
      <c r="L29" s="1053"/>
      <c r="M29" s="2542"/>
      <c r="N29" s="1053"/>
      <c r="O29" s="2542"/>
      <c r="P29" s="1053"/>
      <c r="Q29" s="2542"/>
    </row>
    <row r="30" spans="1:17" ht="13.5" thickBot="1" x14ac:dyDescent="0.35">
      <c r="A30" s="62">
        <v>5</v>
      </c>
      <c r="B30" s="213"/>
      <c r="C30" s="1033"/>
      <c r="D30" s="1033"/>
      <c r="E30" s="1045"/>
      <c r="F30" s="1034"/>
      <c r="G30" s="1054"/>
      <c r="H30" s="1034"/>
      <c r="I30" s="1054"/>
      <c r="J30" s="1034"/>
      <c r="K30" s="62">
        <v>5</v>
      </c>
      <c r="L30" s="1054"/>
      <c r="M30" s="1034"/>
      <c r="N30" s="1054"/>
      <c r="O30" s="1034"/>
      <c r="P30" s="1054"/>
      <c r="Q30" s="1034"/>
    </row>
    <row r="31" spans="1:17" ht="13.5" thickTop="1" x14ac:dyDescent="0.3">
      <c r="A31" s="63">
        <v>6</v>
      </c>
      <c r="B31" s="211"/>
      <c r="C31" s="1031"/>
      <c r="D31" s="1031"/>
      <c r="E31" s="1046"/>
      <c r="F31" s="1035"/>
      <c r="G31" s="1055"/>
      <c r="H31" s="1035"/>
      <c r="I31" s="1055"/>
      <c r="J31" s="1035"/>
      <c r="K31" s="63">
        <v>6</v>
      </c>
      <c r="L31" s="1055"/>
      <c r="M31" s="1035"/>
      <c r="N31" s="1055"/>
      <c r="O31" s="1035"/>
      <c r="P31" s="1055"/>
      <c r="Q31" s="1035"/>
    </row>
    <row r="32" spans="1:17" ht="13" x14ac:dyDescent="0.3">
      <c r="A32" s="64">
        <v>7</v>
      </c>
      <c r="B32" s="813"/>
      <c r="C32" s="1032"/>
      <c r="D32" s="1032"/>
      <c r="E32" s="1047"/>
      <c r="F32" s="1036"/>
      <c r="G32" s="1056"/>
      <c r="H32" s="1036"/>
      <c r="I32" s="1056"/>
      <c r="J32" s="1036"/>
      <c r="K32" s="64">
        <v>7</v>
      </c>
      <c r="L32" s="1056"/>
      <c r="M32" s="1036"/>
      <c r="N32" s="1056"/>
      <c r="O32" s="1036"/>
      <c r="P32" s="1056"/>
      <c r="Q32" s="1036"/>
    </row>
    <row r="33" spans="1:17" ht="13" x14ac:dyDescent="0.3">
      <c r="A33" s="64">
        <v>8</v>
      </c>
      <c r="B33" s="213"/>
      <c r="C33" s="1032"/>
      <c r="D33" s="1032"/>
      <c r="E33" s="1047"/>
      <c r="F33" s="1036"/>
      <c r="G33" s="1056"/>
      <c r="H33" s="1036"/>
      <c r="I33" s="1056"/>
      <c r="J33" s="1036"/>
      <c r="K33" s="64">
        <v>8</v>
      </c>
      <c r="L33" s="1056"/>
      <c r="M33" s="1036"/>
      <c r="N33" s="1056"/>
      <c r="O33" s="1036"/>
      <c r="P33" s="1056"/>
      <c r="Q33" s="1036"/>
    </row>
    <row r="34" spans="1:17" ht="13" x14ac:dyDescent="0.3">
      <c r="A34" s="64">
        <v>9</v>
      </c>
      <c r="B34" s="213"/>
      <c r="C34" s="1032"/>
      <c r="D34" s="1032"/>
      <c r="E34" s="1047"/>
      <c r="F34" s="1036"/>
      <c r="G34" s="1056"/>
      <c r="H34" s="1036"/>
      <c r="I34" s="1056"/>
      <c r="J34" s="1036"/>
      <c r="K34" s="64">
        <v>9</v>
      </c>
      <c r="L34" s="1056"/>
      <c r="M34" s="1036"/>
      <c r="N34" s="1056"/>
      <c r="O34" s="1036"/>
      <c r="P34" s="1056"/>
      <c r="Q34" s="1036"/>
    </row>
    <row r="35" spans="1:17" ht="13.5" thickBot="1" x14ac:dyDescent="0.35">
      <c r="A35" s="396">
        <v>10</v>
      </c>
      <c r="B35" s="815"/>
      <c r="C35" s="1037"/>
      <c r="D35" s="1037"/>
      <c r="E35" s="1048"/>
      <c r="F35" s="1038"/>
      <c r="G35" s="1057"/>
      <c r="H35" s="1038"/>
      <c r="I35" s="1057"/>
      <c r="J35" s="1038"/>
      <c r="K35" s="396">
        <v>10</v>
      </c>
      <c r="L35" s="1057"/>
      <c r="M35" s="1038"/>
      <c r="N35" s="1057"/>
      <c r="O35" s="1038"/>
      <c r="P35" s="1057"/>
      <c r="Q35" s="1038"/>
    </row>
    <row r="36" spans="1:17" ht="13.5" thickTop="1" x14ac:dyDescent="0.3">
      <c r="A36" s="60">
        <v>11</v>
      </c>
      <c r="B36" s="805"/>
      <c r="C36" s="1039"/>
      <c r="D36" s="1039"/>
      <c r="E36" s="1049"/>
      <c r="F36" s="1040"/>
      <c r="G36" s="1058"/>
      <c r="H36" s="1040"/>
      <c r="I36" s="1058"/>
      <c r="J36" s="1040"/>
      <c r="K36" s="60">
        <v>11</v>
      </c>
      <c r="L36" s="1058"/>
      <c r="M36" s="1040"/>
      <c r="N36" s="1058"/>
      <c r="O36" s="1040"/>
      <c r="P36" s="1058"/>
      <c r="Q36" s="1040"/>
    </row>
    <row r="37" spans="1:17" ht="13" x14ac:dyDescent="0.3">
      <c r="A37" s="61">
        <v>12</v>
      </c>
      <c r="B37" s="213"/>
      <c r="C37" s="1032"/>
      <c r="D37" s="1032"/>
      <c r="E37" s="1047"/>
      <c r="F37" s="1036"/>
      <c r="G37" s="1056"/>
      <c r="H37" s="1036"/>
      <c r="I37" s="1056"/>
      <c r="J37" s="1036"/>
      <c r="K37" s="61">
        <v>12</v>
      </c>
      <c r="L37" s="1056"/>
      <c r="M37" s="1036"/>
      <c r="N37" s="1056"/>
      <c r="O37" s="1036"/>
      <c r="P37" s="1056"/>
      <c r="Q37" s="1036"/>
    </row>
    <row r="38" spans="1:17" ht="13" x14ac:dyDescent="0.3">
      <c r="A38" s="61">
        <v>13</v>
      </c>
      <c r="B38" s="213"/>
      <c r="C38" s="1032"/>
      <c r="D38" s="1032"/>
      <c r="E38" s="1047"/>
      <c r="F38" s="1036"/>
      <c r="G38" s="1056"/>
      <c r="H38" s="1036"/>
      <c r="I38" s="1056"/>
      <c r="J38" s="1036"/>
      <c r="K38" s="61">
        <v>13</v>
      </c>
      <c r="L38" s="1056"/>
      <c r="M38" s="1036"/>
      <c r="N38" s="1056"/>
      <c r="O38" s="1036"/>
      <c r="P38" s="1056"/>
      <c r="Q38" s="1036"/>
    </row>
    <row r="39" spans="1:17" ht="13" x14ac:dyDescent="0.3">
      <c r="A39" s="61">
        <v>14</v>
      </c>
      <c r="B39" s="213"/>
      <c r="C39" s="1032"/>
      <c r="D39" s="1032"/>
      <c r="E39" s="1047"/>
      <c r="F39" s="1036"/>
      <c r="G39" s="1056"/>
      <c r="H39" s="1036"/>
      <c r="I39" s="1056"/>
      <c r="J39" s="1036"/>
      <c r="K39" s="61">
        <v>14</v>
      </c>
      <c r="L39" s="1056"/>
      <c r="M39" s="1036"/>
      <c r="N39" s="1056"/>
      <c r="O39" s="1036"/>
      <c r="P39" s="1056"/>
      <c r="Q39" s="1036"/>
    </row>
    <row r="40" spans="1:17" ht="13" x14ac:dyDescent="0.3">
      <c r="A40" s="61">
        <v>15</v>
      </c>
      <c r="B40" s="212"/>
      <c r="C40" s="1032"/>
      <c r="D40" s="1032"/>
      <c r="E40" s="1047"/>
      <c r="F40" s="1036"/>
      <c r="G40" s="1056"/>
      <c r="H40" s="1036"/>
      <c r="I40" s="1056"/>
      <c r="J40" s="1036"/>
      <c r="K40" s="61">
        <v>15</v>
      </c>
      <c r="L40" s="1056"/>
      <c r="M40" s="1036"/>
      <c r="N40" s="1056"/>
      <c r="O40" s="1036"/>
      <c r="P40" s="1056"/>
      <c r="Q40" s="1036"/>
    </row>
    <row r="41" spans="1:17" ht="13" x14ac:dyDescent="0.3">
      <c r="C41" s="1041"/>
      <c r="D41" s="1041"/>
      <c r="E41" s="1041"/>
      <c r="F41" s="1041"/>
      <c r="G41" s="1041"/>
      <c r="H41" s="1041"/>
      <c r="I41" s="1041"/>
      <c r="J41" s="1041"/>
      <c r="L41" s="1041"/>
      <c r="M41" s="1041"/>
      <c r="N41" s="1041"/>
      <c r="O41" s="1041"/>
      <c r="P41" s="1041"/>
      <c r="Q41" s="1041"/>
    </row>
    <row r="42" spans="1:17" ht="13" x14ac:dyDescent="0.3">
      <c r="C42" s="1041"/>
      <c r="D42" s="1041"/>
      <c r="E42" s="1041"/>
      <c r="F42" s="1041"/>
      <c r="G42" s="1041"/>
      <c r="H42" s="1041"/>
      <c r="I42" s="1041"/>
      <c r="J42" s="1041"/>
      <c r="L42" s="1041"/>
      <c r="M42" s="1041"/>
      <c r="N42" s="1041"/>
      <c r="O42" s="1041"/>
      <c r="P42" s="1041"/>
      <c r="Q42" s="1041"/>
    </row>
    <row r="43" spans="1:17" ht="13" x14ac:dyDescent="0.3">
      <c r="C43" s="1041"/>
      <c r="D43" s="1041"/>
      <c r="E43" s="1041"/>
      <c r="F43" s="1041"/>
      <c r="G43" s="1041"/>
      <c r="H43" s="1041"/>
      <c r="I43" s="1041"/>
      <c r="J43" s="1041"/>
      <c r="L43" s="1041"/>
      <c r="M43" s="1041"/>
      <c r="N43" s="1041"/>
      <c r="O43" s="1041"/>
      <c r="P43" s="1041"/>
      <c r="Q43" s="1041"/>
    </row>
    <row r="44" spans="1:17" ht="13" x14ac:dyDescent="0.3">
      <c r="C44" s="1041"/>
      <c r="D44" s="1041"/>
      <c r="E44" s="1041"/>
      <c r="F44" s="1041"/>
      <c r="G44" s="1041"/>
      <c r="H44" s="1041"/>
      <c r="I44" s="1041"/>
      <c r="J44" s="1041"/>
      <c r="L44" s="1041"/>
      <c r="M44" s="1041"/>
      <c r="N44" s="1041"/>
      <c r="O44" s="1041"/>
      <c r="P44" s="1041"/>
      <c r="Q44" s="1041"/>
    </row>
    <row r="45" spans="1:17" ht="13" x14ac:dyDescent="0.3">
      <c r="C45" s="1041"/>
      <c r="D45" s="1041"/>
      <c r="E45" s="1041"/>
      <c r="F45" s="1041"/>
      <c r="G45" s="1041"/>
      <c r="H45" s="1041"/>
      <c r="I45" s="1041"/>
      <c r="J45" s="1041"/>
      <c r="L45" s="1041"/>
      <c r="M45" s="1041"/>
      <c r="N45" s="1041"/>
      <c r="O45" s="1041"/>
      <c r="P45" s="1041"/>
      <c r="Q45" s="1041"/>
    </row>
    <row r="46" spans="1:17" ht="13" x14ac:dyDescent="0.3">
      <c r="C46" s="1041"/>
      <c r="D46" s="1041"/>
      <c r="E46" s="1041"/>
      <c r="F46" s="1041"/>
      <c r="G46" s="1041"/>
      <c r="H46" s="1041"/>
      <c r="I46" s="1041"/>
      <c r="J46" s="1041"/>
      <c r="L46" s="1041"/>
      <c r="M46" s="1041"/>
      <c r="N46" s="1041"/>
      <c r="O46" s="1041"/>
      <c r="P46" s="1041"/>
      <c r="Q46" s="1041"/>
    </row>
    <row r="47" spans="1:17" ht="13" x14ac:dyDescent="0.3">
      <c r="C47" s="1041"/>
      <c r="D47" s="1041"/>
      <c r="E47" s="1041"/>
      <c r="F47" s="1041"/>
      <c r="G47" s="1041"/>
      <c r="H47" s="1041"/>
      <c r="I47" s="1041"/>
      <c r="J47" s="1041"/>
      <c r="L47" s="1041"/>
      <c r="M47" s="1041"/>
      <c r="N47" s="1041"/>
      <c r="O47" s="1041"/>
      <c r="P47" s="1041"/>
      <c r="Q47" s="1041"/>
    </row>
    <row r="48" spans="1:17" ht="13" x14ac:dyDescent="0.3">
      <c r="C48" s="1041"/>
      <c r="D48" s="1041"/>
      <c r="E48" s="1041"/>
      <c r="F48" s="1041"/>
      <c r="G48" s="1041"/>
      <c r="H48" s="1041"/>
      <c r="I48" s="1041"/>
      <c r="J48" s="1041"/>
      <c r="L48" s="1041"/>
      <c r="M48" s="1041"/>
      <c r="N48" s="1041"/>
      <c r="O48" s="1041"/>
      <c r="P48" s="1041"/>
      <c r="Q48" s="1041"/>
    </row>
    <row r="49" spans="3:17" ht="13" x14ac:dyDescent="0.3">
      <c r="C49" s="1041"/>
      <c r="D49" s="1041"/>
      <c r="E49" s="1041"/>
      <c r="F49" s="1041"/>
      <c r="G49" s="1041"/>
      <c r="H49" s="1041"/>
      <c r="I49" s="1041"/>
      <c r="J49" s="1041"/>
      <c r="L49" s="1041"/>
      <c r="M49" s="1041"/>
      <c r="N49" s="1041"/>
      <c r="O49" s="1041"/>
      <c r="P49" s="1041"/>
      <c r="Q49" s="1041"/>
    </row>
    <row r="50" spans="3:17" ht="13" x14ac:dyDescent="0.3">
      <c r="C50" s="1041"/>
      <c r="D50" s="1041"/>
      <c r="E50" s="1041"/>
      <c r="F50" s="1041"/>
      <c r="G50" s="1041"/>
      <c r="H50" s="1041"/>
      <c r="I50" s="1041"/>
      <c r="J50" s="1041"/>
      <c r="L50" s="1041"/>
      <c r="M50" s="1041"/>
      <c r="N50" s="1041"/>
      <c r="O50" s="1041"/>
      <c r="P50" s="1041"/>
      <c r="Q50" s="1041"/>
    </row>
    <row r="51" spans="3:17" ht="13" x14ac:dyDescent="0.3">
      <c r="C51" s="1041"/>
      <c r="D51" s="1041"/>
      <c r="E51" s="1041"/>
      <c r="F51" s="1041"/>
      <c r="G51" s="1041"/>
      <c r="H51" s="1041"/>
      <c r="I51" s="1041"/>
      <c r="J51" s="1041"/>
      <c r="L51" s="1041"/>
      <c r="M51" s="1041"/>
      <c r="N51" s="1041"/>
      <c r="O51" s="1041"/>
      <c r="P51" s="1041"/>
      <c r="Q51" s="1041"/>
    </row>
    <row r="52" spans="3:17" ht="13" x14ac:dyDescent="0.3">
      <c r="C52" s="1041"/>
      <c r="D52" s="1041"/>
      <c r="E52" s="1041"/>
      <c r="F52" s="1041"/>
      <c r="G52" s="1041"/>
      <c r="H52" s="1041"/>
      <c r="I52" s="1041"/>
      <c r="J52" s="1041"/>
      <c r="L52" s="1041"/>
      <c r="M52" s="1041"/>
      <c r="N52" s="1041"/>
      <c r="O52" s="1041"/>
      <c r="P52" s="1041"/>
      <c r="Q52" s="1041"/>
    </row>
    <row r="53" spans="3:17" ht="13" x14ac:dyDescent="0.3">
      <c r="C53" s="1041"/>
      <c r="D53" s="1041"/>
      <c r="E53" s="1041"/>
      <c r="F53" s="1041"/>
      <c r="G53" s="1041"/>
      <c r="H53" s="1041"/>
      <c r="I53" s="1041"/>
      <c r="J53" s="1041"/>
      <c r="L53" s="1041"/>
      <c r="M53" s="1041"/>
      <c r="N53" s="1041"/>
      <c r="O53" s="1041"/>
      <c r="P53" s="1041"/>
      <c r="Q53" s="1041"/>
    </row>
    <row r="54" spans="3:17" ht="13" x14ac:dyDescent="0.3">
      <c r="C54" s="1041"/>
      <c r="D54" s="1041"/>
      <c r="E54" s="1041"/>
      <c r="F54" s="1041"/>
      <c r="G54" s="1041"/>
      <c r="H54" s="1041"/>
      <c r="I54" s="1041"/>
      <c r="J54" s="1041"/>
      <c r="L54" s="1041"/>
      <c r="M54" s="1041"/>
      <c r="N54" s="1041"/>
      <c r="O54" s="1041"/>
      <c r="P54" s="1041"/>
      <c r="Q54" s="1041"/>
    </row>
    <row r="55" spans="3:17" ht="13" x14ac:dyDescent="0.3">
      <c r="C55" s="1041"/>
      <c r="D55" s="1041"/>
      <c r="E55" s="1041"/>
      <c r="F55" s="1041"/>
      <c r="G55" s="1041"/>
      <c r="H55" s="1041"/>
      <c r="I55" s="1041"/>
      <c r="J55" s="1041"/>
      <c r="L55" s="1041"/>
      <c r="M55" s="1041"/>
      <c r="N55" s="1041"/>
      <c r="O55" s="1041"/>
      <c r="P55" s="1041"/>
      <c r="Q55" s="1041"/>
    </row>
  </sheetData>
  <mergeCells count="17">
    <mergeCell ref="A4:A25"/>
    <mergeCell ref="O5:O13"/>
    <mergeCell ref="B5:B14"/>
    <mergeCell ref="C5:C20"/>
    <mergeCell ref="Q5:Q13"/>
    <mergeCell ref="P5:P19"/>
    <mergeCell ref="N5:N19"/>
    <mergeCell ref="L5:L19"/>
    <mergeCell ref="D5:D13"/>
    <mergeCell ref="F5:F13"/>
    <mergeCell ref="H5:H13"/>
    <mergeCell ref="J5:J13"/>
    <mergeCell ref="M5:M13"/>
    <mergeCell ref="I5:I19"/>
    <mergeCell ref="G5:G19"/>
    <mergeCell ref="E5:E19"/>
    <mergeCell ref="K4:K25"/>
  </mergeCells>
  <pageMargins left="0.314" right="0.314" top="0.11799999999999999" bottom="0.27500000000000002" header="0.157" footer="0.11799999999999999"/>
  <pageSetup scale="94" firstPageNumber="61" orientation="landscape" r:id="rId1"/>
  <headerFooter>
    <oddFooter>&amp;C&amp;P</oddFooter>
  </headerFooter>
  <colBreaks count="1" manualBreakCount="1">
    <brk id="10" max="3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53"/>
  <sheetViews>
    <sheetView topLeftCell="X4" zoomScale="130" zoomScaleNormal="90" zoomScaleSheetLayoutView="130" zoomScalePageLayoutView="110" workbookViewId="0">
      <selection activeCell="AD4" sqref="AD4"/>
    </sheetView>
  </sheetViews>
  <sheetFormatPr defaultColWidth="8.81640625" defaultRowHeight="12.5" x14ac:dyDescent="0.25"/>
  <cols>
    <col min="1" max="1" width="3.453125" style="15" customWidth="1"/>
    <col min="2" max="2" width="5.453125" style="15" customWidth="1"/>
    <col min="3" max="12" width="3.453125" style="10" customWidth="1"/>
    <col min="13" max="13" width="9" style="10" customWidth="1"/>
    <col min="14" max="14" width="9.26953125" style="10" customWidth="1"/>
    <col min="15" max="15" width="14.453125" style="10" customWidth="1"/>
    <col min="16" max="16" width="9.26953125" style="10" customWidth="1"/>
    <col min="17" max="17" width="12.1796875" style="10" customWidth="1"/>
    <col min="18" max="18" width="7.1796875" style="10" customWidth="1"/>
    <col min="19" max="19" width="8.7265625" style="10" customWidth="1"/>
    <col min="20" max="20" width="10.1796875" style="10" customWidth="1"/>
    <col min="21" max="21" width="3.453125" style="15" customWidth="1"/>
    <col min="22" max="22" width="12" style="10" customWidth="1"/>
    <col min="23" max="23" width="19.7265625" style="10" customWidth="1"/>
    <col min="24" max="24" width="13.453125" style="10" customWidth="1"/>
    <col min="25" max="26" width="9" style="10" customWidth="1"/>
    <col min="27" max="27" width="14" style="10" customWidth="1"/>
    <col min="28" max="28" width="13.453125" style="10" customWidth="1"/>
    <col min="29" max="29" width="9.1796875" style="10" customWidth="1"/>
    <col min="30" max="30" width="10.7265625" style="10" customWidth="1"/>
    <col min="31" max="31" width="9.7265625" style="10" customWidth="1"/>
    <col min="32" max="32" width="14.7265625" customWidth="1"/>
  </cols>
  <sheetData>
    <row r="1" spans="1:32" ht="13" x14ac:dyDescent="0.3">
      <c r="A1" s="798" t="s">
        <v>875</v>
      </c>
      <c r="B1" s="798"/>
      <c r="C1" s="798"/>
      <c r="D1" s="798"/>
      <c r="E1" s="798"/>
      <c r="F1" s="798"/>
      <c r="G1" s="798"/>
      <c r="H1" s="798"/>
      <c r="I1" s="798"/>
      <c r="J1" s="798"/>
      <c r="K1" s="798"/>
      <c r="L1" s="798"/>
      <c r="M1" s="798"/>
      <c r="N1" s="798"/>
      <c r="O1" s="798"/>
      <c r="U1" s="798" t="s">
        <v>875</v>
      </c>
      <c r="V1" s="798"/>
    </row>
    <row r="2" spans="1:32" ht="13" x14ac:dyDescent="0.3">
      <c r="A2" s="798"/>
      <c r="B2" s="798"/>
      <c r="C2" s="798"/>
      <c r="D2" s="798"/>
      <c r="E2" s="798"/>
      <c r="F2" s="798"/>
      <c r="G2" s="798"/>
      <c r="H2" s="798"/>
      <c r="I2" s="798"/>
      <c r="J2" s="798"/>
      <c r="K2" s="798"/>
      <c r="L2" s="798"/>
      <c r="M2" s="798"/>
      <c r="N2" s="798"/>
      <c r="O2" s="798"/>
      <c r="U2" s="798"/>
      <c r="V2" s="798"/>
    </row>
    <row r="3" spans="1:32" x14ac:dyDescent="0.25">
      <c r="A3" s="11"/>
      <c r="B3" s="11"/>
      <c r="U3" s="11"/>
    </row>
    <row r="4" spans="1:32" x14ac:dyDescent="0.25">
      <c r="A4" s="2766" t="s">
        <v>170</v>
      </c>
      <c r="B4" s="799">
        <v>6</v>
      </c>
      <c r="C4" s="3238">
        <v>6.01</v>
      </c>
      <c r="D4" s="3239"/>
      <c r="E4" s="3239"/>
      <c r="F4" s="3239"/>
      <c r="G4" s="3239"/>
      <c r="H4" s="3239"/>
      <c r="I4" s="3239"/>
      <c r="J4" s="3239"/>
      <c r="K4" s="3239"/>
      <c r="L4" s="3239"/>
      <c r="M4" s="2478">
        <v>6.02</v>
      </c>
      <c r="N4" s="2478">
        <f t="shared" ref="N4:T4" si="0">M4+0.01</f>
        <v>6.0299999999999994</v>
      </c>
      <c r="O4" s="2478">
        <f t="shared" si="0"/>
        <v>6.0399999999999991</v>
      </c>
      <c r="P4" s="2478">
        <f t="shared" si="0"/>
        <v>6.0499999999999989</v>
      </c>
      <c r="Q4" s="2087">
        <f t="shared" si="0"/>
        <v>6.0599999999999987</v>
      </c>
      <c r="R4" s="2478">
        <f t="shared" si="0"/>
        <v>6.0699999999999985</v>
      </c>
      <c r="S4" s="2478">
        <f t="shared" si="0"/>
        <v>6.0799999999999983</v>
      </c>
      <c r="T4" s="2478">
        <f t="shared" si="0"/>
        <v>6.0899999999999981</v>
      </c>
      <c r="U4" s="2766" t="s">
        <v>170</v>
      </c>
      <c r="V4" s="800">
        <f>T4+0.01</f>
        <v>6.0999999999999979</v>
      </c>
      <c r="W4" s="800">
        <f>V4+0.01</f>
        <v>6.1099999999999977</v>
      </c>
      <c r="X4" s="800">
        <f>W4+0.01</f>
        <v>6.1199999999999974</v>
      </c>
      <c r="Y4" s="2478">
        <f>X4+0.01</f>
        <v>6.1299999999999972</v>
      </c>
      <c r="Z4" s="1128"/>
      <c r="AA4" s="1117">
        <f>Y4+0.01</f>
        <v>6.139999999999997</v>
      </c>
      <c r="AB4" s="800">
        <f>AA4+0.01</f>
        <v>6.1499999999999968</v>
      </c>
      <c r="AC4" s="800">
        <f>AB4+0.01</f>
        <v>6.1599999999999966</v>
      </c>
      <c r="AD4" s="800">
        <f>AC4+0.01</f>
        <v>6.1699999999999964</v>
      </c>
      <c r="AE4" s="800">
        <f>AD4+0.01</f>
        <v>6.1799999999999962</v>
      </c>
      <c r="AF4" s="1846">
        <f>AE4+0.01</f>
        <v>6.1899999999999959</v>
      </c>
    </row>
    <row r="5" spans="1:32" ht="12.75" customHeight="1" x14ac:dyDescent="0.25">
      <c r="A5" s="2767"/>
      <c r="B5" s="2947" t="s">
        <v>172</v>
      </c>
      <c r="C5" s="3240" t="str">
        <f>CONCATENATE("Est-ce que [NOM] possède un compte dans les établissements financiers suivants ou une carte prépayée?
1.  Oui
2.  Non
Sur chaque colonne, mettre 1 pour Oui ou 2 pour Non
Si NON à tous les établissements  ►(",TEXT(N4,"0.00"),")")</f>
        <v>Est-ce que [NOM] possède un compte dans les établissements financiers suivants ou une carte prépayée?
1.  Oui
2.  Non
Sur chaque colonne, mettre 1 pour Oui ou 2 pour Non
Si NON à tous les établissements  ►(6.03)</v>
      </c>
      <c r="D5" s="3221"/>
      <c r="E5" s="3221"/>
      <c r="F5" s="3221"/>
      <c r="G5" s="3221"/>
      <c r="H5" s="3221"/>
      <c r="I5" s="3221"/>
      <c r="J5" s="3221"/>
      <c r="K5" s="3221"/>
      <c r="L5" s="3241"/>
      <c r="M5" s="3250" t="s">
        <v>876</v>
      </c>
      <c r="N5" s="3220" t="s">
        <v>877</v>
      </c>
      <c r="O5" s="3220" t="s">
        <v>878</v>
      </c>
      <c r="P5" s="3220" t="s">
        <v>879</v>
      </c>
      <c r="Q5" s="3266" t="s">
        <v>880</v>
      </c>
      <c r="R5" s="3270" t="s">
        <v>881</v>
      </c>
      <c r="S5" s="3270" t="s">
        <v>882</v>
      </c>
      <c r="T5" s="3220" t="s">
        <v>883</v>
      </c>
      <c r="U5" s="2767"/>
      <c r="V5" s="3250" t="s">
        <v>884</v>
      </c>
      <c r="W5" s="3220" t="s">
        <v>885</v>
      </c>
      <c r="X5" s="3220" t="s">
        <v>886</v>
      </c>
      <c r="Y5" s="3222" t="s">
        <v>887</v>
      </c>
      <c r="Z5" s="2852"/>
      <c r="AA5" s="3220" t="s">
        <v>888</v>
      </c>
      <c r="AB5" s="3220" t="s">
        <v>889</v>
      </c>
      <c r="AC5" s="3220" t="s">
        <v>890</v>
      </c>
      <c r="AD5" s="3220" t="s">
        <v>891</v>
      </c>
      <c r="AE5" s="3270" t="s">
        <v>892</v>
      </c>
      <c r="AF5" s="3267" t="s">
        <v>893</v>
      </c>
    </row>
    <row r="6" spans="1:32" ht="12.75" customHeight="1" x14ac:dyDescent="0.25">
      <c r="A6" s="2767"/>
      <c r="B6" s="2947"/>
      <c r="C6" s="2807"/>
      <c r="D6" s="3222"/>
      <c r="E6" s="3222"/>
      <c r="F6" s="3222"/>
      <c r="G6" s="3222"/>
      <c r="H6" s="3222"/>
      <c r="I6" s="3222"/>
      <c r="J6" s="3222"/>
      <c r="K6" s="3222"/>
      <c r="L6" s="2852"/>
      <c r="M6" s="3251"/>
      <c r="N6" s="2782"/>
      <c r="O6" s="2782"/>
      <c r="P6" s="2782"/>
      <c r="Q6" s="2808"/>
      <c r="R6" s="2898"/>
      <c r="S6" s="2898"/>
      <c r="T6" s="2782"/>
      <c r="U6" s="2767"/>
      <c r="V6" s="3251"/>
      <c r="W6" s="2782"/>
      <c r="X6" s="2782"/>
      <c r="Y6" s="3222"/>
      <c r="Z6" s="2852"/>
      <c r="AA6" s="2782"/>
      <c r="AB6" s="2782"/>
      <c r="AC6" s="2782"/>
      <c r="AD6" s="2782"/>
      <c r="AE6" s="2898"/>
      <c r="AF6" s="3268"/>
    </row>
    <row r="7" spans="1:32" ht="12.75" customHeight="1" x14ac:dyDescent="0.25">
      <c r="A7" s="2767"/>
      <c r="B7" s="2947"/>
      <c r="C7" s="2807"/>
      <c r="D7" s="3222"/>
      <c r="E7" s="3222"/>
      <c r="F7" s="3222"/>
      <c r="G7" s="3222"/>
      <c r="H7" s="3222"/>
      <c r="I7" s="3222"/>
      <c r="J7" s="3222"/>
      <c r="K7" s="3222"/>
      <c r="L7" s="2852"/>
      <c r="M7" s="3251"/>
      <c r="N7" s="2782"/>
      <c r="O7" s="2782"/>
      <c r="P7" s="2782"/>
      <c r="Q7" s="2808"/>
      <c r="R7" s="2898"/>
      <c r="S7" s="2898"/>
      <c r="T7" s="2782"/>
      <c r="U7" s="2767"/>
      <c r="V7" s="3251"/>
      <c r="W7" s="2782"/>
      <c r="X7" s="2782"/>
      <c r="Y7" s="3273"/>
      <c r="Z7" s="3274"/>
      <c r="AA7" s="2782"/>
      <c r="AB7" s="2782"/>
      <c r="AC7" s="2782"/>
      <c r="AD7" s="2782"/>
      <c r="AE7" s="2898"/>
      <c r="AF7" s="3268"/>
    </row>
    <row r="8" spans="1:32" ht="13.5" customHeight="1" x14ac:dyDescent="0.25">
      <c r="A8" s="2767"/>
      <c r="B8" s="2947"/>
      <c r="C8" s="2807"/>
      <c r="D8" s="3222"/>
      <c r="E8" s="3222"/>
      <c r="F8" s="3222"/>
      <c r="G8" s="3222"/>
      <c r="H8" s="3222"/>
      <c r="I8" s="3222"/>
      <c r="J8" s="3222"/>
      <c r="K8" s="3222"/>
      <c r="L8" s="2852"/>
      <c r="M8" s="3251"/>
      <c r="N8" s="2782"/>
      <c r="O8" s="2782"/>
      <c r="P8" s="2782"/>
      <c r="Q8" s="2808"/>
      <c r="R8" s="2898"/>
      <c r="S8" s="2898"/>
      <c r="T8" s="2782"/>
      <c r="U8" s="2767"/>
      <c r="V8" s="3251"/>
      <c r="W8" s="2782"/>
      <c r="X8" s="2782"/>
      <c r="Y8" s="3271" t="s">
        <v>894</v>
      </c>
      <c r="Z8" s="3264" t="s">
        <v>895</v>
      </c>
      <c r="AA8" s="2782"/>
      <c r="AB8" s="2782"/>
      <c r="AC8" s="2782"/>
      <c r="AD8" s="2782"/>
      <c r="AE8" s="2898"/>
      <c r="AF8" s="3268"/>
    </row>
    <row r="9" spans="1:32" x14ac:dyDescent="0.25">
      <c r="A9" s="2767"/>
      <c r="B9" s="2947"/>
      <c r="C9" s="2807"/>
      <c r="D9" s="3222"/>
      <c r="E9" s="3222"/>
      <c r="F9" s="3222"/>
      <c r="G9" s="3222"/>
      <c r="H9" s="3222"/>
      <c r="I9" s="3222"/>
      <c r="J9" s="3222"/>
      <c r="K9" s="3222"/>
      <c r="L9" s="2852"/>
      <c r="M9" s="3251"/>
      <c r="N9" s="2782"/>
      <c r="O9" s="2782"/>
      <c r="P9" s="2782"/>
      <c r="Q9" s="2808"/>
      <c r="R9" s="2898"/>
      <c r="S9" s="2898"/>
      <c r="T9" s="2782"/>
      <c r="U9" s="2767"/>
      <c r="V9" s="3251"/>
      <c r="W9" s="2346" t="s">
        <v>896</v>
      </c>
      <c r="X9" s="2782"/>
      <c r="Y9" s="3272"/>
      <c r="Z9" s="3265"/>
      <c r="AA9" s="2782"/>
      <c r="AB9" s="2782"/>
      <c r="AC9" s="2782"/>
      <c r="AD9" s="2782"/>
      <c r="AE9" s="2898"/>
      <c r="AF9" s="3268"/>
    </row>
    <row r="10" spans="1:32" ht="26" customHeight="1" x14ac:dyDescent="0.25">
      <c r="A10" s="2767"/>
      <c r="B10" s="2947"/>
      <c r="C10" s="2807"/>
      <c r="D10" s="3222"/>
      <c r="E10" s="3222"/>
      <c r="F10" s="3222"/>
      <c r="G10" s="3222"/>
      <c r="H10" s="3222"/>
      <c r="I10" s="3222"/>
      <c r="J10" s="3222"/>
      <c r="K10" s="3222"/>
      <c r="L10" s="2852"/>
      <c r="M10" s="3251"/>
      <c r="N10" s="2782"/>
      <c r="O10" s="860" t="s">
        <v>897</v>
      </c>
      <c r="P10" s="2782"/>
      <c r="Q10" s="2350"/>
      <c r="R10" s="2898"/>
      <c r="S10" s="2898"/>
      <c r="T10" s="2782"/>
      <c r="U10" s="2767"/>
      <c r="V10" s="3251"/>
      <c r="W10" s="2346" t="s">
        <v>898</v>
      </c>
      <c r="X10" s="2346"/>
      <c r="Y10" s="3272"/>
      <c r="Z10" s="3265"/>
      <c r="AA10" s="2782"/>
      <c r="AB10" s="2346" t="s">
        <v>899</v>
      </c>
      <c r="AC10" s="2782"/>
      <c r="AD10" s="2782"/>
      <c r="AE10" s="2898"/>
      <c r="AF10" s="3268"/>
    </row>
    <row r="11" spans="1:32" ht="13.5" customHeight="1" x14ac:dyDescent="0.25">
      <c r="A11" s="2767"/>
      <c r="B11" s="2947"/>
      <c r="C11" s="2807"/>
      <c r="D11" s="3222"/>
      <c r="E11" s="3222"/>
      <c r="F11" s="3222"/>
      <c r="G11" s="3222"/>
      <c r="H11" s="3222"/>
      <c r="I11" s="3222"/>
      <c r="J11" s="3222"/>
      <c r="K11" s="3222"/>
      <c r="L11" s="2852"/>
      <c r="M11" s="3251"/>
      <c r="N11" s="2782"/>
      <c r="O11" s="3258" t="s">
        <v>900</v>
      </c>
      <c r="P11" s="2782"/>
      <c r="Q11" s="2808" t="s">
        <v>901</v>
      </c>
      <c r="R11" s="2898"/>
      <c r="S11" s="2898"/>
      <c r="T11" s="2782"/>
      <c r="U11" s="2767"/>
      <c r="V11" s="3251"/>
      <c r="W11" s="3258" t="s">
        <v>902</v>
      </c>
      <c r="X11" s="2346" t="s">
        <v>903</v>
      </c>
      <c r="Y11" s="3272"/>
      <c r="Z11" s="3265"/>
      <c r="AA11" s="2381"/>
      <c r="AB11" s="2346" t="s">
        <v>904</v>
      </c>
      <c r="AC11" s="2782"/>
      <c r="AD11" s="2782"/>
      <c r="AE11" s="2898"/>
      <c r="AF11" s="2373" t="s">
        <v>905</v>
      </c>
    </row>
    <row r="12" spans="1:32" x14ac:dyDescent="0.25">
      <c r="A12" s="2767"/>
      <c r="B12" s="2947"/>
      <c r="C12" s="2807"/>
      <c r="D12" s="3222"/>
      <c r="E12" s="3222"/>
      <c r="F12" s="3222"/>
      <c r="G12" s="3222"/>
      <c r="H12" s="3222"/>
      <c r="I12" s="3222"/>
      <c r="J12" s="3222"/>
      <c r="K12" s="3222"/>
      <c r="L12" s="2852"/>
      <c r="M12" s="2346"/>
      <c r="N12" s="2782"/>
      <c r="O12" s="3258"/>
      <c r="P12" s="2346"/>
      <c r="Q12" s="2808"/>
      <c r="R12" s="2898"/>
      <c r="S12" s="2898"/>
      <c r="T12" s="2782"/>
      <c r="U12" s="2767"/>
      <c r="V12" s="3251"/>
      <c r="W12" s="3258"/>
      <c r="X12" s="2346" t="s">
        <v>906</v>
      </c>
      <c r="Y12" s="3272"/>
      <c r="Z12" s="3265"/>
      <c r="AA12" s="2381"/>
      <c r="AB12" s="2346" t="s">
        <v>907</v>
      </c>
      <c r="AC12" s="2782"/>
      <c r="AD12" s="2782"/>
      <c r="AE12" s="2898"/>
      <c r="AF12" s="2855" t="s">
        <v>908</v>
      </c>
    </row>
    <row r="13" spans="1:32" ht="22" customHeight="1" x14ac:dyDescent="0.25">
      <c r="A13" s="2767"/>
      <c r="B13" s="2947"/>
      <c r="C13" s="2807"/>
      <c r="D13" s="3222"/>
      <c r="E13" s="3222"/>
      <c r="F13" s="3222"/>
      <c r="G13" s="3222"/>
      <c r="H13" s="3222"/>
      <c r="I13" s="3222"/>
      <c r="J13" s="3222"/>
      <c r="K13" s="3222"/>
      <c r="L13" s="2852"/>
      <c r="M13" s="2346"/>
      <c r="N13" s="2782"/>
      <c r="O13" s="2468" t="s">
        <v>909</v>
      </c>
      <c r="P13" s="2346"/>
      <c r="Q13" s="2350" t="s">
        <v>910</v>
      </c>
      <c r="R13" s="2365"/>
      <c r="S13" s="2365"/>
      <c r="T13" s="2365"/>
      <c r="U13" s="2767"/>
      <c r="V13" s="3251"/>
      <c r="W13" s="2898" t="s">
        <v>911</v>
      </c>
      <c r="X13" s="2346" t="s">
        <v>912</v>
      </c>
      <c r="Y13" s="3272"/>
      <c r="Z13" s="3265"/>
      <c r="AA13" s="2381"/>
      <c r="AB13" s="2346" t="s">
        <v>913</v>
      </c>
      <c r="AC13" s="2782"/>
      <c r="AD13" s="2782"/>
      <c r="AE13" s="2898"/>
      <c r="AF13" s="2855"/>
    </row>
    <row r="14" spans="1:32" ht="26" customHeight="1" x14ac:dyDescent="0.25">
      <c r="A14" s="2767"/>
      <c r="B14" s="2947"/>
      <c r="C14" s="2807"/>
      <c r="D14" s="3222"/>
      <c r="E14" s="3222"/>
      <c r="F14" s="3222"/>
      <c r="G14" s="3222"/>
      <c r="H14" s="3222"/>
      <c r="I14" s="3222"/>
      <c r="J14" s="3222"/>
      <c r="K14" s="3222"/>
      <c r="L14" s="2852"/>
      <c r="M14" s="2346"/>
      <c r="N14" s="2782"/>
      <c r="O14" s="2468" t="s">
        <v>914</v>
      </c>
      <c r="P14" s="2346"/>
      <c r="Q14" s="2808" t="s">
        <v>915</v>
      </c>
      <c r="R14" s="2365"/>
      <c r="S14" s="2365"/>
      <c r="T14" s="2365"/>
      <c r="U14" s="2767"/>
      <c r="V14" s="3251"/>
      <c r="W14" s="2898"/>
      <c r="X14" s="2346" t="s">
        <v>916</v>
      </c>
      <c r="Y14" s="3272"/>
      <c r="Z14" s="3265"/>
      <c r="AA14" s="2381"/>
      <c r="AB14" s="2346" t="s">
        <v>917</v>
      </c>
      <c r="AC14" s="2782"/>
      <c r="AD14" s="2782"/>
      <c r="AE14" s="2898"/>
      <c r="AF14" s="3269" t="s">
        <v>918</v>
      </c>
    </row>
    <row r="15" spans="1:32" ht="23" x14ac:dyDescent="0.25">
      <c r="A15" s="2767"/>
      <c r="B15" s="2947"/>
      <c r="C15" s="2807"/>
      <c r="D15" s="3222"/>
      <c r="E15" s="3222"/>
      <c r="F15" s="3222"/>
      <c r="G15" s="3222"/>
      <c r="H15" s="3222"/>
      <c r="I15" s="3222"/>
      <c r="J15" s="3222"/>
      <c r="K15" s="3222"/>
      <c r="L15" s="2852"/>
      <c r="M15" s="1429" t="s">
        <v>873</v>
      </c>
      <c r="O15" s="2407" t="s">
        <v>919</v>
      </c>
      <c r="P15" s="2514" t="str">
        <f>CONCATENATE("1.  Oui ► (",TEXT(V4,"0.00"),")")</f>
        <v>1.  Oui ► (6.10)</v>
      </c>
      <c r="Q15" s="2808"/>
      <c r="R15" s="1429" t="s">
        <v>920</v>
      </c>
      <c r="S15" s="1429" t="s">
        <v>920</v>
      </c>
      <c r="T15" s="1429" t="s">
        <v>921</v>
      </c>
      <c r="U15" s="2767"/>
      <c r="V15" s="3251"/>
      <c r="W15" s="2346" t="s">
        <v>922</v>
      </c>
      <c r="X15" s="2384" t="s">
        <v>923</v>
      </c>
      <c r="Y15" s="2381"/>
      <c r="Z15" s="3265"/>
      <c r="AA15" s="2381"/>
      <c r="AB15" s="2346" t="str">
        <f>CONCATENATE("6. En une seule fois ►(",TEXT(AF4,"0.00"),")")</f>
        <v>6. En une seule fois ►(6.19)</v>
      </c>
      <c r="AC15" s="2782"/>
      <c r="AD15" s="2782"/>
      <c r="AE15" s="2898"/>
      <c r="AF15" s="3269"/>
    </row>
    <row r="16" spans="1:32" ht="27" customHeight="1" x14ac:dyDescent="0.25">
      <c r="A16" s="2767"/>
      <c r="B16" s="2947"/>
      <c r="C16" s="3260" t="s">
        <v>924</v>
      </c>
      <c r="D16" s="3261"/>
      <c r="E16" s="3261"/>
      <c r="F16" s="3261"/>
      <c r="G16" s="3261"/>
      <c r="H16" s="3261"/>
      <c r="I16" s="3261"/>
      <c r="J16" s="3261"/>
      <c r="K16" s="3261"/>
      <c r="L16" s="3262"/>
      <c r="M16" s="2365" t="s">
        <v>925</v>
      </c>
      <c r="N16" s="1428" t="str">
        <f>CONCATENATE("1. Oui ►(",TEXT(P4, "0.00"),")")</f>
        <v>1. Oui ►(6.05)</v>
      </c>
      <c r="O16" s="2407" t="s">
        <v>926</v>
      </c>
      <c r="P16" s="2346" t="s">
        <v>925</v>
      </c>
      <c r="Q16" s="2808"/>
      <c r="R16" s="2346" t="s">
        <v>925</v>
      </c>
      <c r="S16" s="2346" t="s">
        <v>925</v>
      </c>
      <c r="T16" s="2782" t="s">
        <v>927</v>
      </c>
      <c r="U16" s="2767"/>
      <c r="V16" s="3263"/>
      <c r="W16" s="2782" t="s">
        <v>928</v>
      </c>
      <c r="X16" s="2346" t="s">
        <v>929</v>
      </c>
      <c r="Y16" s="2381"/>
      <c r="Z16" s="2381"/>
      <c r="AA16" s="2381"/>
      <c r="AB16" s="2855" t="str">
        <f>CONCATENATE("7. Non spécifiée ►(",TEXT(AF4,"0.00"),")")</f>
        <v>7. Non spécifiée ►(6.19)</v>
      </c>
      <c r="AC16" s="2782"/>
      <c r="AD16" s="2782"/>
      <c r="AE16" s="2898"/>
      <c r="AF16" s="2396" t="s">
        <v>930</v>
      </c>
    </row>
    <row r="17" spans="1:32" ht="27" customHeight="1" x14ac:dyDescent="0.25">
      <c r="A17" s="2767"/>
      <c r="B17" s="2947"/>
      <c r="C17" s="3252" t="s">
        <v>931</v>
      </c>
      <c r="D17" s="3252"/>
      <c r="E17" s="3244" t="s">
        <v>932</v>
      </c>
      <c r="F17" s="3245"/>
      <c r="G17" s="3244" t="s">
        <v>933</v>
      </c>
      <c r="H17" s="3245"/>
      <c r="I17" s="3244" t="s">
        <v>934</v>
      </c>
      <c r="J17" s="3245"/>
      <c r="K17" s="3244" t="s">
        <v>935</v>
      </c>
      <c r="L17" s="3245"/>
      <c r="M17" s="2365"/>
      <c r="N17" s="2365" t="s">
        <v>925</v>
      </c>
      <c r="O17" s="2468" t="s">
        <v>936</v>
      </c>
      <c r="P17" s="2346"/>
      <c r="Q17" s="2808" t="s">
        <v>937</v>
      </c>
      <c r="R17" s="2346"/>
      <c r="S17" s="2346"/>
      <c r="T17" s="2782"/>
      <c r="U17" s="2767"/>
      <c r="V17" s="3263"/>
      <c r="W17" s="2782"/>
      <c r="X17" s="2346" t="s">
        <v>938</v>
      </c>
      <c r="Y17" s="2381"/>
      <c r="Z17" s="2381"/>
      <c r="AA17" s="2381"/>
      <c r="AB17" s="2855"/>
      <c r="AC17" s="2782"/>
      <c r="AD17" s="2782"/>
      <c r="AE17" s="2898"/>
      <c r="AF17" s="1847"/>
    </row>
    <row r="18" spans="1:32" ht="14" x14ac:dyDescent="0.3">
      <c r="A18" s="2767"/>
      <c r="B18" s="2947"/>
      <c r="C18" s="3253"/>
      <c r="D18" s="3253"/>
      <c r="E18" s="3246"/>
      <c r="F18" s="3247"/>
      <c r="G18" s="3246"/>
      <c r="H18" s="3247"/>
      <c r="I18" s="3246"/>
      <c r="J18" s="3247"/>
      <c r="K18" s="3246"/>
      <c r="L18" s="3247"/>
      <c r="M18" s="1635"/>
      <c r="N18" s="1635"/>
      <c r="O18" s="2468" t="s">
        <v>939</v>
      </c>
      <c r="P18" s="1635"/>
      <c r="Q18" s="2808"/>
      <c r="R18" s="2346"/>
      <c r="S18" s="2346"/>
      <c r="T18" s="2782"/>
      <c r="U18" s="2767"/>
      <c r="V18" s="1635"/>
      <c r="W18" s="2782"/>
      <c r="X18" s="2346" t="s">
        <v>940</v>
      </c>
      <c r="Y18" s="1635"/>
      <c r="Z18" s="1635"/>
      <c r="AA18" s="1635"/>
      <c r="AB18" s="1635"/>
      <c r="AC18" s="1635"/>
      <c r="AD18" s="1635"/>
      <c r="AE18" s="1635"/>
      <c r="AF18" s="1847"/>
    </row>
    <row r="19" spans="1:32" ht="23" x14ac:dyDescent="0.25">
      <c r="A19" s="2767"/>
      <c r="B19" s="2947"/>
      <c r="C19" s="3253"/>
      <c r="D19" s="3253"/>
      <c r="E19" s="3246"/>
      <c r="F19" s="3247"/>
      <c r="G19" s="3246"/>
      <c r="H19" s="3247"/>
      <c r="I19" s="3246"/>
      <c r="J19" s="3247"/>
      <c r="K19" s="3246"/>
      <c r="L19" s="3247"/>
      <c r="M19" s="2384"/>
      <c r="N19" s="2384"/>
      <c r="O19" s="2834" t="s">
        <v>941</v>
      </c>
      <c r="P19" s="801"/>
      <c r="Q19" s="2088" t="s">
        <v>942</v>
      </c>
      <c r="R19" s="2407"/>
      <c r="S19" s="2407"/>
      <c r="T19" s="2384"/>
      <c r="U19" s="2767"/>
      <c r="V19" s="2384"/>
      <c r="W19" s="2346" t="s">
        <v>943</v>
      </c>
      <c r="X19" s="2346" t="s">
        <v>944</v>
      </c>
      <c r="Y19" s="2384"/>
      <c r="Z19" s="2384"/>
      <c r="AA19" s="2384"/>
      <c r="AB19" s="2384"/>
      <c r="AC19" s="2384"/>
      <c r="AD19" s="2384"/>
      <c r="AE19" s="2384"/>
      <c r="AF19" s="1847"/>
    </row>
    <row r="20" spans="1:32" ht="24" customHeight="1" x14ac:dyDescent="0.3">
      <c r="A20" s="2767"/>
      <c r="B20" s="2947"/>
      <c r="C20" s="3253"/>
      <c r="D20" s="3253"/>
      <c r="E20" s="3246"/>
      <c r="F20" s="3247"/>
      <c r="G20" s="3246"/>
      <c r="H20" s="3247"/>
      <c r="I20" s="3246"/>
      <c r="J20" s="3247"/>
      <c r="K20" s="3246"/>
      <c r="L20" s="3247"/>
      <c r="M20" s="802"/>
      <c r="N20" s="802"/>
      <c r="O20" s="2834"/>
      <c r="P20" s="802"/>
      <c r="Q20" s="2089"/>
      <c r="R20" s="802"/>
      <c r="S20" s="802"/>
      <c r="T20" s="802"/>
      <c r="U20" s="2767"/>
      <c r="V20" s="803"/>
      <c r="W20" s="2346" t="s">
        <v>945</v>
      </c>
      <c r="X20" s="803"/>
      <c r="Y20" s="803"/>
      <c r="Z20" s="803"/>
      <c r="AA20" s="803"/>
      <c r="AB20" s="803"/>
      <c r="AC20" s="803"/>
      <c r="AD20" s="803"/>
      <c r="AE20" s="803"/>
      <c r="AF20" s="1847"/>
    </row>
    <row r="21" spans="1:32" x14ac:dyDescent="0.25">
      <c r="A21" s="2767"/>
      <c r="B21" s="2947"/>
      <c r="C21" s="3253"/>
      <c r="D21" s="3253"/>
      <c r="E21" s="3246"/>
      <c r="F21" s="3247"/>
      <c r="G21" s="3246"/>
      <c r="H21" s="3247"/>
      <c r="I21" s="3246"/>
      <c r="J21" s="3247"/>
      <c r="K21" s="3246"/>
      <c r="L21" s="3247"/>
      <c r="M21" s="2384"/>
      <c r="N21" s="2384"/>
      <c r="O21" s="2468" t="s">
        <v>946</v>
      </c>
      <c r="P21" s="2384"/>
      <c r="Q21" s="2395" t="s">
        <v>479</v>
      </c>
      <c r="R21" s="2384"/>
      <c r="S21" s="2384"/>
      <c r="T21" s="343"/>
      <c r="U21" s="2767"/>
      <c r="V21" s="2407"/>
      <c r="W21" s="2346" t="s">
        <v>946</v>
      </c>
      <c r="X21" s="2407"/>
      <c r="Y21" s="2407"/>
      <c r="Z21" s="2407"/>
      <c r="AA21" s="2407"/>
      <c r="AB21" s="2407"/>
      <c r="AC21" s="2407"/>
      <c r="AD21" s="2407"/>
      <c r="AE21" s="2407"/>
      <c r="AF21" s="1847"/>
    </row>
    <row r="22" spans="1:32" x14ac:dyDescent="0.25">
      <c r="A22" s="2767"/>
      <c r="B22" s="2947"/>
      <c r="C22" s="3253"/>
      <c r="D22" s="3253"/>
      <c r="E22" s="3248"/>
      <c r="F22" s="3249"/>
      <c r="G22" s="3248"/>
      <c r="H22" s="3249"/>
      <c r="I22" s="3246"/>
      <c r="J22" s="3247"/>
      <c r="K22" s="3246"/>
      <c r="L22" s="3247"/>
      <c r="M22" s="2384"/>
      <c r="N22" s="2384"/>
      <c r="O22" s="2497" t="str">
        <f>CONCATENATE("►► (",TEXT(R4,"0.00"),")")</f>
        <v>►► (6.07)</v>
      </c>
      <c r="P22" s="2384"/>
      <c r="Q22" s="2395"/>
      <c r="R22" s="2384"/>
      <c r="S22" s="2384"/>
      <c r="T22" s="343"/>
      <c r="U22" s="2767"/>
      <c r="V22" s="2407"/>
      <c r="X22" s="2407"/>
      <c r="Y22" s="2407"/>
      <c r="Z22" s="2407"/>
      <c r="AA22" s="2407"/>
      <c r="AB22" s="2407"/>
      <c r="AC22" s="2407"/>
      <c r="AD22" s="2407"/>
      <c r="AE22" s="2407"/>
      <c r="AF22" s="1847"/>
    </row>
    <row r="23" spans="1:32" ht="14.25" customHeight="1" x14ac:dyDescent="0.25">
      <c r="A23" s="2768"/>
      <c r="B23" s="3068"/>
      <c r="C23" s="3237" t="s">
        <v>346</v>
      </c>
      <c r="D23" s="3237"/>
      <c r="E23" s="3237" t="s">
        <v>346</v>
      </c>
      <c r="F23" s="3237"/>
      <c r="G23" s="3237" t="s">
        <v>346</v>
      </c>
      <c r="H23" s="3237"/>
      <c r="I23" s="3242" t="s">
        <v>346</v>
      </c>
      <c r="J23" s="3259"/>
      <c r="K23" s="3242" t="s">
        <v>346</v>
      </c>
      <c r="L23" s="3243"/>
      <c r="M23" s="804" t="s">
        <v>346</v>
      </c>
      <c r="N23" s="804" t="s">
        <v>346</v>
      </c>
      <c r="O23" s="804" t="s">
        <v>346</v>
      </c>
      <c r="P23" s="804" t="s">
        <v>346</v>
      </c>
      <c r="Q23" s="2090" t="s">
        <v>346</v>
      </c>
      <c r="R23" s="804" t="s">
        <v>346</v>
      </c>
      <c r="S23" s="804" t="s">
        <v>346</v>
      </c>
      <c r="T23" s="804" t="s">
        <v>346</v>
      </c>
      <c r="U23" s="2768"/>
      <c r="V23" s="2477" t="s">
        <v>141</v>
      </c>
      <c r="W23" s="2477" t="s">
        <v>346</v>
      </c>
      <c r="X23" s="2477" t="s">
        <v>346</v>
      </c>
      <c r="Y23" s="2477" t="s">
        <v>347</v>
      </c>
      <c r="Z23" s="2477" t="s">
        <v>520</v>
      </c>
      <c r="AA23" s="2477" t="s">
        <v>947</v>
      </c>
      <c r="AB23" s="2477" t="s">
        <v>346</v>
      </c>
      <c r="AC23" s="2477" t="s">
        <v>141</v>
      </c>
      <c r="AD23" s="2477" t="s">
        <v>947</v>
      </c>
      <c r="AE23" s="2477" t="s">
        <v>141</v>
      </c>
      <c r="AF23" s="1848" t="s">
        <v>346</v>
      </c>
    </row>
    <row r="24" spans="1:32" ht="13" thickTop="1" x14ac:dyDescent="0.25">
      <c r="A24" s="59">
        <v>1</v>
      </c>
      <c r="B24" s="805"/>
      <c r="C24" s="3235"/>
      <c r="D24" s="3236"/>
      <c r="E24" s="3235"/>
      <c r="F24" s="3236"/>
      <c r="G24" s="959"/>
      <c r="H24" s="959"/>
      <c r="I24" s="3235"/>
      <c r="J24" s="3236"/>
      <c r="K24" s="3235"/>
      <c r="L24" s="3236"/>
      <c r="M24" s="806"/>
      <c r="N24" s="806"/>
      <c r="O24" s="806"/>
      <c r="P24" s="806"/>
      <c r="Q24" s="806"/>
      <c r="R24" s="806"/>
      <c r="S24" s="806"/>
      <c r="T24" s="806"/>
      <c r="U24" s="59">
        <v>1</v>
      </c>
      <c r="V24" s="807"/>
      <c r="W24" s="808"/>
      <c r="X24" s="808"/>
      <c r="Y24" s="808"/>
      <c r="Z24" s="808"/>
      <c r="AA24" s="808"/>
      <c r="AB24" s="808"/>
      <c r="AC24" s="808"/>
      <c r="AD24" s="808"/>
      <c r="AE24" s="808"/>
      <c r="AF24" s="808"/>
    </row>
    <row r="25" spans="1:32" x14ac:dyDescent="0.25">
      <c r="A25" s="60">
        <v>2</v>
      </c>
      <c r="B25" s="213"/>
      <c r="C25" s="3233"/>
      <c r="D25" s="3234"/>
      <c r="E25" s="3233"/>
      <c r="F25" s="3234"/>
      <c r="G25" s="876"/>
      <c r="H25" s="876"/>
      <c r="I25" s="3233"/>
      <c r="J25" s="3234"/>
      <c r="K25" s="3233"/>
      <c r="L25" s="3234"/>
      <c r="M25" s="2542"/>
      <c r="N25" s="2542"/>
      <c r="O25" s="2542"/>
      <c r="P25" s="2542"/>
      <c r="Q25" s="2542"/>
      <c r="R25" s="2542"/>
      <c r="S25" s="2542"/>
      <c r="T25" s="2542"/>
      <c r="U25" s="60">
        <v>2</v>
      </c>
      <c r="V25" s="809"/>
      <c r="W25" s="810"/>
      <c r="X25" s="810"/>
      <c r="Y25" s="810"/>
      <c r="Z25" s="810"/>
      <c r="AA25" s="810"/>
      <c r="AB25" s="810"/>
      <c r="AC25" s="810"/>
      <c r="AD25" s="810"/>
      <c r="AE25" s="810"/>
      <c r="AF25" s="810"/>
    </row>
    <row r="26" spans="1:32" x14ac:dyDescent="0.25">
      <c r="A26" s="61">
        <v>3</v>
      </c>
      <c r="B26" s="213"/>
      <c r="C26" s="3233"/>
      <c r="D26" s="3234"/>
      <c r="E26" s="3233"/>
      <c r="F26" s="3234"/>
      <c r="G26" s="876"/>
      <c r="H26" s="876"/>
      <c r="I26" s="3233"/>
      <c r="J26" s="3234"/>
      <c r="K26" s="3233"/>
      <c r="L26" s="3234"/>
      <c r="M26" s="2542"/>
      <c r="N26" s="2542"/>
      <c r="O26" s="2542"/>
      <c r="P26" s="2542"/>
      <c r="Q26" s="2542"/>
      <c r="R26" s="2542"/>
      <c r="S26" s="2542"/>
      <c r="T26" s="2542"/>
      <c r="U26" s="61">
        <v>3</v>
      </c>
      <c r="V26" s="809"/>
      <c r="W26" s="810"/>
      <c r="X26" s="810"/>
      <c r="Y26" s="810"/>
      <c r="Z26" s="810"/>
      <c r="AA26" s="810"/>
      <c r="AB26" s="810"/>
      <c r="AC26" s="810"/>
      <c r="AD26" s="810"/>
      <c r="AE26" s="810"/>
      <c r="AF26" s="810"/>
    </row>
    <row r="27" spans="1:32" x14ac:dyDescent="0.25">
      <c r="A27" s="61">
        <v>4</v>
      </c>
      <c r="B27" s="213"/>
      <c r="C27" s="3233"/>
      <c r="D27" s="3234"/>
      <c r="E27" s="3233"/>
      <c r="F27" s="3234"/>
      <c r="G27" s="876"/>
      <c r="H27" s="876"/>
      <c r="I27" s="3233"/>
      <c r="J27" s="3234"/>
      <c r="K27" s="3233"/>
      <c r="L27" s="3234"/>
      <c r="M27" s="2542"/>
      <c r="N27" s="2542"/>
      <c r="O27" s="2542"/>
      <c r="P27" s="2542"/>
      <c r="Q27" s="2542"/>
      <c r="R27" s="2542"/>
      <c r="S27" s="2542"/>
      <c r="T27" s="2542"/>
      <c r="U27" s="61">
        <v>4</v>
      </c>
      <c r="V27" s="809"/>
      <c r="W27" s="810"/>
      <c r="X27" s="810"/>
      <c r="Y27" s="810"/>
      <c r="Z27" s="810"/>
      <c r="AA27" s="810"/>
      <c r="AB27" s="810"/>
      <c r="AC27" s="810"/>
      <c r="AD27" s="810"/>
      <c r="AE27" s="810"/>
      <c r="AF27" s="810"/>
    </row>
    <row r="28" spans="1:32" ht="13.5" thickBot="1" x14ac:dyDescent="0.35">
      <c r="A28" s="62">
        <v>5</v>
      </c>
      <c r="B28" s="213"/>
      <c r="C28" s="3229"/>
      <c r="D28" s="3230"/>
      <c r="E28" s="3229"/>
      <c r="F28" s="3230"/>
      <c r="G28" s="960"/>
      <c r="H28" s="960"/>
      <c r="I28" s="3229"/>
      <c r="J28" s="3230"/>
      <c r="K28" s="3229"/>
      <c r="L28" s="3230"/>
      <c r="M28" s="811"/>
      <c r="N28" s="811"/>
      <c r="O28" s="811"/>
      <c r="P28" s="811"/>
      <c r="Q28" s="811"/>
      <c r="R28" s="811"/>
      <c r="S28" s="811"/>
      <c r="T28" s="811"/>
      <c r="U28" s="62">
        <v>5</v>
      </c>
      <c r="V28" s="811"/>
      <c r="W28" s="811"/>
      <c r="X28" s="811"/>
      <c r="Y28" s="811"/>
      <c r="Z28" s="811"/>
      <c r="AA28" s="811"/>
      <c r="AB28" s="811"/>
      <c r="AC28" s="811"/>
      <c r="AD28" s="811"/>
      <c r="AE28" s="811"/>
      <c r="AF28" s="811"/>
    </row>
    <row r="29" spans="1:32" ht="13.5" thickTop="1" x14ac:dyDescent="0.3">
      <c r="A29" s="63">
        <v>6</v>
      </c>
      <c r="B29" s="211"/>
      <c r="C29" s="3231"/>
      <c r="D29" s="3232"/>
      <c r="E29" s="3231"/>
      <c r="F29" s="3232"/>
      <c r="G29" s="961"/>
      <c r="H29" s="961"/>
      <c r="I29" s="3231"/>
      <c r="J29" s="3232"/>
      <c r="K29" s="3231"/>
      <c r="L29" s="3232"/>
      <c r="M29" s="812"/>
      <c r="N29" s="812"/>
      <c r="O29" s="812"/>
      <c r="P29" s="812"/>
      <c r="Q29" s="812"/>
      <c r="R29" s="812"/>
      <c r="S29" s="812"/>
      <c r="T29" s="812"/>
      <c r="U29" s="63">
        <v>6</v>
      </c>
      <c r="V29" s="812"/>
      <c r="W29" s="812"/>
      <c r="X29" s="812"/>
      <c r="Y29" s="812"/>
      <c r="Z29" s="812"/>
      <c r="AA29" s="812"/>
      <c r="AB29" s="812"/>
      <c r="AC29" s="812"/>
      <c r="AD29" s="812"/>
      <c r="AE29" s="812"/>
      <c r="AF29" s="812"/>
    </row>
    <row r="30" spans="1:32" ht="13" x14ac:dyDescent="0.3">
      <c r="A30" s="64">
        <v>7</v>
      </c>
      <c r="B30" s="813"/>
      <c r="C30" s="3227"/>
      <c r="D30" s="3228"/>
      <c r="E30" s="3227"/>
      <c r="F30" s="3228"/>
      <c r="G30" s="962"/>
      <c r="H30" s="962"/>
      <c r="I30" s="3227"/>
      <c r="J30" s="3228"/>
      <c r="K30" s="3227"/>
      <c r="L30" s="3228"/>
      <c r="M30" s="814"/>
      <c r="N30" s="814"/>
      <c r="O30" s="814"/>
      <c r="P30" s="814"/>
      <c r="Q30" s="814"/>
      <c r="R30" s="814"/>
      <c r="S30" s="814"/>
      <c r="T30" s="814"/>
      <c r="U30" s="64">
        <v>7</v>
      </c>
      <c r="V30" s="814"/>
      <c r="W30" s="814"/>
      <c r="X30" s="814"/>
      <c r="Y30" s="814"/>
      <c r="Z30" s="814"/>
      <c r="AA30" s="814"/>
      <c r="AB30" s="814"/>
      <c r="AC30" s="814"/>
      <c r="AD30" s="814"/>
      <c r="AE30" s="814"/>
      <c r="AF30" s="814"/>
    </row>
    <row r="31" spans="1:32" ht="13" x14ac:dyDescent="0.3">
      <c r="A31" s="64">
        <v>8</v>
      </c>
      <c r="B31" s="213"/>
      <c r="C31" s="3227"/>
      <c r="D31" s="3228"/>
      <c r="E31" s="3227"/>
      <c r="F31" s="3228"/>
      <c r="G31" s="962"/>
      <c r="H31" s="962"/>
      <c r="I31" s="3227"/>
      <c r="J31" s="3228"/>
      <c r="K31" s="3227"/>
      <c r="L31" s="3228"/>
      <c r="M31" s="814"/>
      <c r="N31" s="814"/>
      <c r="O31" s="814"/>
      <c r="P31" s="814"/>
      <c r="Q31" s="814"/>
      <c r="R31" s="814"/>
      <c r="S31" s="814"/>
      <c r="T31" s="814"/>
      <c r="U31" s="64">
        <v>8</v>
      </c>
      <c r="V31" s="814"/>
      <c r="W31" s="814"/>
      <c r="X31" s="814"/>
      <c r="Y31" s="814"/>
      <c r="Z31" s="814"/>
      <c r="AA31" s="814"/>
      <c r="AB31" s="814"/>
      <c r="AC31" s="814"/>
      <c r="AD31" s="814"/>
      <c r="AE31" s="814"/>
      <c r="AF31" s="814"/>
    </row>
    <row r="32" spans="1:32" ht="13" x14ac:dyDescent="0.3">
      <c r="A32" s="64">
        <v>9</v>
      </c>
      <c r="B32" s="213"/>
      <c r="C32" s="3227"/>
      <c r="D32" s="3228"/>
      <c r="E32" s="3227"/>
      <c r="F32" s="3228"/>
      <c r="G32" s="962"/>
      <c r="H32" s="962"/>
      <c r="I32" s="3227"/>
      <c r="J32" s="3228"/>
      <c r="K32" s="3227"/>
      <c r="L32" s="3228"/>
      <c r="M32" s="814"/>
      <c r="N32" s="814"/>
      <c r="O32" s="814"/>
      <c r="P32" s="814"/>
      <c r="Q32" s="814"/>
      <c r="R32" s="814"/>
      <c r="S32" s="814"/>
      <c r="T32" s="814"/>
      <c r="U32" s="64">
        <v>9</v>
      </c>
      <c r="V32" s="814"/>
      <c r="W32" s="814"/>
      <c r="X32" s="814"/>
      <c r="Y32" s="814"/>
      <c r="Z32" s="814"/>
      <c r="AA32" s="814"/>
      <c r="AB32" s="814"/>
      <c r="AC32" s="814"/>
      <c r="AD32" s="814"/>
      <c r="AE32" s="814"/>
      <c r="AF32" s="814"/>
    </row>
    <row r="33" spans="1:32" ht="13.5" thickBot="1" x14ac:dyDescent="0.35">
      <c r="A33" s="396">
        <v>10</v>
      </c>
      <c r="B33" s="815"/>
      <c r="C33" s="3256"/>
      <c r="D33" s="3257"/>
      <c r="E33" s="3256"/>
      <c r="F33" s="3257"/>
      <c r="G33" s="963"/>
      <c r="H33" s="963"/>
      <c r="I33" s="3256"/>
      <c r="J33" s="3257"/>
      <c r="K33" s="3256"/>
      <c r="L33" s="3257"/>
      <c r="M33" s="816"/>
      <c r="N33" s="816"/>
      <c r="O33" s="816"/>
      <c r="P33" s="816"/>
      <c r="Q33" s="816"/>
      <c r="R33" s="816"/>
      <c r="S33" s="816"/>
      <c r="T33" s="816"/>
      <c r="U33" s="396">
        <v>10</v>
      </c>
      <c r="V33" s="816"/>
      <c r="W33" s="816"/>
      <c r="X33" s="816"/>
      <c r="Y33" s="816"/>
      <c r="Z33" s="816"/>
      <c r="AA33" s="816"/>
      <c r="AB33" s="816"/>
      <c r="AC33" s="816"/>
      <c r="AD33" s="816"/>
      <c r="AE33" s="816"/>
      <c r="AF33" s="816"/>
    </row>
    <row r="34" spans="1:32" ht="13.5" thickTop="1" x14ac:dyDescent="0.3">
      <c r="A34" s="60">
        <v>11</v>
      </c>
      <c r="B34" s="805"/>
      <c r="C34" s="3254"/>
      <c r="D34" s="3255"/>
      <c r="E34" s="3254"/>
      <c r="F34" s="3255"/>
      <c r="G34" s="964"/>
      <c r="H34" s="964"/>
      <c r="I34" s="3254"/>
      <c r="J34" s="3255"/>
      <c r="K34" s="3254"/>
      <c r="L34" s="3255"/>
      <c r="M34" s="817"/>
      <c r="N34" s="817"/>
      <c r="O34" s="817"/>
      <c r="P34" s="817"/>
      <c r="Q34" s="817"/>
      <c r="R34" s="817"/>
      <c r="S34" s="817"/>
      <c r="T34" s="817"/>
      <c r="U34" s="60">
        <v>11</v>
      </c>
      <c r="V34" s="817"/>
      <c r="W34" s="817"/>
      <c r="X34" s="817"/>
      <c r="Y34" s="817"/>
      <c r="Z34" s="817"/>
      <c r="AA34" s="817"/>
      <c r="AB34" s="817"/>
      <c r="AC34" s="817"/>
      <c r="AD34" s="817"/>
      <c r="AE34" s="817"/>
      <c r="AF34" s="817"/>
    </row>
    <row r="35" spans="1:32" ht="13" x14ac:dyDescent="0.3">
      <c r="A35" s="61">
        <v>12</v>
      </c>
      <c r="B35" s="213"/>
      <c r="C35" s="3227"/>
      <c r="D35" s="3228"/>
      <c r="E35" s="3227"/>
      <c r="F35" s="3228"/>
      <c r="G35" s="962"/>
      <c r="H35" s="962"/>
      <c r="I35" s="3227"/>
      <c r="J35" s="3228"/>
      <c r="K35" s="3227"/>
      <c r="L35" s="3228"/>
      <c r="M35" s="814"/>
      <c r="N35" s="814"/>
      <c r="O35" s="814"/>
      <c r="P35" s="814"/>
      <c r="Q35" s="814"/>
      <c r="R35" s="814"/>
      <c r="S35" s="814"/>
      <c r="T35" s="814"/>
      <c r="U35" s="61">
        <v>12</v>
      </c>
      <c r="V35" s="814"/>
      <c r="W35" s="814"/>
      <c r="X35" s="814"/>
      <c r="Y35" s="814"/>
      <c r="Z35" s="814"/>
      <c r="AA35" s="814"/>
      <c r="AB35" s="814"/>
      <c r="AC35" s="814"/>
      <c r="AD35" s="814"/>
      <c r="AE35" s="814"/>
      <c r="AF35" s="814"/>
    </row>
    <row r="36" spans="1:32" ht="13" x14ac:dyDescent="0.3">
      <c r="A36" s="61">
        <v>13</v>
      </c>
      <c r="B36" s="213"/>
      <c r="C36" s="3227"/>
      <c r="D36" s="3228"/>
      <c r="E36" s="3227"/>
      <c r="F36" s="3228"/>
      <c r="G36" s="962"/>
      <c r="H36" s="962"/>
      <c r="I36" s="3227"/>
      <c r="J36" s="3228"/>
      <c r="K36" s="3227"/>
      <c r="L36" s="3228"/>
      <c r="M36" s="814"/>
      <c r="N36" s="814"/>
      <c r="O36" s="814"/>
      <c r="P36" s="814"/>
      <c r="Q36" s="814"/>
      <c r="R36" s="814"/>
      <c r="S36" s="814"/>
      <c r="T36" s="814"/>
      <c r="U36" s="61">
        <v>13</v>
      </c>
      <c r="V36" s="814"/>
      <c r="W36" s="814"/>
      <c r="X36" s="814"/>
      <c r="Y36" s="814"/>
      <c r="Z36" s="814"/>
      <c r="AA36" s="814"/>
      <c r="AB36" s="814"/>
      <c r="AC36" s="814"/>
      <c r="AD36" s="814"/>
      <c r="AE36" s="814"/>
      <c r="AF36" s="814"/>
    </row>
    <row r="37" spans="1:32" ht="13" x14ac:dyDescent="0.3">
      <c r="A37" s="61">
        <v>14</v>
      </c>
      <c r="B37" s="213"/>
      <c r="C37" s="3227"/>
      <c r="D37" s="3228"/>
      <c r="E37" s="3227"/>
      <c r="F37" s="3228"/>
      <c r="G37" s="962"/>
      <c r="H37" s="962"/>
      <c r="I37" s="3227"/>
      <c r="J37" s="3228"/>
      <c r="K37" s="3227"/>
      <c r="L37" s="3228"/>
      <c r="M37" s="814"/>
      <c r="N37" s="814"/>
      <c r="O37" s="814"/>
      <c r="P37" s="814"/>
      <c r="Q37" s="814"/>
      <c r="R37" s="814"/>
      <c r="S37" s="814"/>
      <c r="T37" s="814"/>
      <c r="U37" s="61">
        <v>14</v>
      </c>
      <c r="V37" s="814"/>
      <c r="W37" s="814"/>
      <c r="X37" s="814"/>
      <c r="Y37" s="814"/>
      <c r="Z37" s="814"/>
      <c r="AA37" s="814"/>
      <c r="AB37" s="814"/>
      <c r="AC37" s="814"/>
      <c r="AD37" s="814"/>
      <c r="AE37" s="814"/>
      <c r="AF37" s="814"/>
    </row>
    <row r="38" spans="1:32" ht="13" x14ac:dyDescent="0.3">
      <c r="A38" s="61">
        <v>15</v>
      </c>
      <c r="B38" s="212"/>
      <c r="C38" s="3227"/>
      <c r="D38" s="3228"/>
      <c r="E38" s="3227"/>
      <c r="F38" s="3228"/>
      <c r="G38" s="962"/>
      <c r="H38" s="962"/>
      <c r="I38" s="3227"/>
      <c r="J38" s="3228"/>
      <c r="K38" s="3227"/>
      <c r="L38" s="3228"/>
      <c r="M38" s="814"/>
      <c r="N38" s="814"/>
      <c r="O38" s="814"/>
      <c r="P38" s="814"/>
      <c r="Q38" s="814"/>
      <c r="R38" s="814"/>
      <c r="S38" s="814"/>
      <c r="T38" s="814"/>
      <c r="U38" s="61">
        <v>15</v>
      </c>
      <c r="V38" s="814"/>
      <c r="W38" s="814"/>
      <c r="X38" s="814"/>
      <c r="Y38" s="814"/>
      <c r="Z38" s="814"/>
      <c r="AA38" s="814"/>
      <c r="AB38" s="814"/>
      <c r="AC38" s="814"/>
      <c r="AD38" s="814"/>
      <c r="AE38" s="814"/>
      <c r="AF38" s="814"/>
    </row>
    <row r="39" spans="1:32" ht="13" x14ac:dyDescent="0.3">
      <c r="C39" s="3"/>
      <c r="D39" s="3"/>
      <c r="E39" s="3"/>
      <c r="F39" s="3"/>
      <c r="G39" s="3"/>
      <c r="H39" s="3"/>
      <c r="I39" s="3"/>
      <c r="J39" s="3"/>
      <c r="K39" s="3"/>
      <c r="L39" s="3"/>
      <c r="M39" s="3"/>
      <c r="N39" s="3"/>
      <c r="O39" s="3"/>
      <c r="P39" s="3"/>
      <c r="Q39" s="3"/>
      <c r="R39" s="3"/>
      <c r="S39" s="3"/>
      <c r="T39" s="3"/>
      <c r="V39" s="3"/>
      <c r="W39" s="3"/>
      <c r="X39" s="3"/>
      <c r="Y39" s="3"/>
      <c r="Z39" s="3"/>
      <c r="AA39" s="3"/>
      <c r="AB39" s="3"/>
      <c r="AC39" s="3"/>
      <c r="AD39" s="3"/>
      <c r="AE39" s="3"/>
    </row>
    <row r="40" spans="1:32" ht="13" x14ac:dyDescent="0.3">
      <c r="C40" s="3"/>
      <c r="D40" s="3"/>
      <c r="E40" s="3"/>
      <c r="F40" s="3"/>
      <c r="G40" s="3"/>
      <c r="H40" s="3"/>
      <c r="I40" s="3"/>
      <c r="J40" s="3"/>
      <c r="K40" s="3"/>
      <c r="L40" s="3"/>
      <c r="M40" s="3"/>
      <c r="N40" s="3"/>
      <c r="O40" s="3"/>
      <c r="P40" s="3"/>
      <c r="Q40" s="3"/>
      <c r="R40" s="3"/>
      <c r="S40" s="3"/>
      <c r="T40" s="3"/>
      <c r="V40" s="3"/>
      <c r="W40" s="3"/>
      <c r="X40" s="3"/>
      <c r="Y40" s="3"/>
      <c r="Z40" s="3"/>
      <c r="AA40" s="3"/>
      <c r="AB40" s="3"/>
      <c r="AC40" s="3"/>
      <c r="AD40" s="3"/>
      <c r="AE40" s="3"/>
    </row>
    <row r="41" spans="1:32" ht="13" x14ac:dyDescent="0.3">
      <c r="C41" s="3"/>
      <c r="D41" s="3"/>
      <c r="E41" s="3"/>
      <c r="F41" s="3"/>
      <c r="G41" s="3"/>
      <c r="H41" s="3"/>
      <c r="I41" s="3"/>
      <c r="J41" s="3"/>
      <c r="K41" s="3"/>
      <c r="L41" s="3"/>
      <c r="M41" s="3"/>
      <c r="N41" s="3"/>
      <c r="O41" s="3"/>
      <c r="P41" s="3"/>
      <c r="Q41" s="3"/>
      <c r="R41" s="3"/>
      <c r="S41" s="3"/>
      <c r="T41" s="3"/>
      <c r="V41" s="3"/>
      <c r="W41" s="3"/>
      <c r="X41" s="3"/>
      <c r="Y41" s="3"/>
      <c r="Z41" s="3"/>
      <c r="AA41" s="3"/>
      <c r="AB41" s="3"/>
      <c r="AC41" s="3"/>
      <c r="AD41" s="3"/>
      <c r="AE41" s="3"/>
    </row>
    <row r="42" spans="1:32" ht="13" x14ac:dyDescent="0.3">
      <c r="C42" s="3"/>
      <c r="D42" s="3"/>
      <c r="E42" s="3"/>
      <c r="F42" s="3"/>
      <c r="G42" s="3"/>
      <c r="H42" s="3"/>
      <c r="I42" s="3"/>
      <c r="J42" s="3"/>
      <c r="K42" s="3"/>
      <c r="L42" s="3"/>
      <c r="M42" s="3"/>
      <c r="N42" s="3"/>
      <c r="O42" s="3"/>
      <c r="P42" s="3"/>
      <c r="Q42" s="3"/>
      <c r="R42" s="3"/>
      <c r="S42" s="3"/>
      <c r="T42" s="3"/>
      <c r="V42" s="3"/>
      <c r="W42" s="3"/>
      <c r="X42" s="3"/>
      <c r="Y42" s="3"/>
      <c r="Z42" s="3"/>
      <c r="AA42" s="3"/>
      <c r="AB42" s="3"/>
      <c r="AC42" s="3"/>
      <c r="AD42" s="3"/>
      <c r="AE42" s="3"/>
    </row>
    <row r="43" spans="1:32" ht="13" x14ac:dyDescent="0.3">
      <c r="C43" s="3"/>
      <c r="D43" s="3"/>
      <c r="E43" s="3"/>
      <c r="F43" s="3"/>
      <c r="G43" s="3"/>
      <c r="H43" s="3"/>
      <c r="I43" s="3"/>
      <c r="J43" s="3"/>
      <c r="K43" s="3"/>
      <c r="L43" s="3"/>
      <c r="M43" s="3"/>
      <c r="N43" s="3"/>
      <c r="O43" s="3"/>
      <c r="P43" s="3"/>
      <c r="Q43" s="3"/>
      <c r="R43" s="3"/>
      <c r="S43" s="3"/>
      <c r="T43" s="3"/>
      <c r="V43" s="3"/>
      <c r="W43" s="3"/>
      <c r="X43" s="3"/>
      <c r="Y43" s="3"/>
      <c r="Z43" s="3"/>
      <c r="AA43" s="3"/>
      <c r="AB43" s="3"/>
      <c r="AC43" s="3"/>
      <c r="AD43" s="3"/>
      <c r="AE43" s="3"/>
    </row>
    <row r="44" spans="1:32" ht="13" x14ac:dyDescent="0.3">
      <c r="C44" s="3"/>
      <c r="D44" s="3"/>
      <c r="E44" s="3"/>
      <c r="F44" s="3"/>
      <c r="G44" s="3"/>
      <c r="H44" s="3"/>
      <c r="I44" s="3"/>
      <c r="J44" s="3"/>
      <c r="K44" s="3"/>
      <c r="L44" s="3"/>
      <c r="M44" s="3"/>
      <c r="N44" s="3"/>
      <c r="O44" s="3"/>
      <c r="P44" s="3"/>
      <c r="Q44" s="3"/>
      <c r="R44" s="3"/>
      <c r="S44" s="3"/>
      <c r="T44" s="3"/>
      <c r="V44" s="3"/>
      <c r="W44" s="3"/>
      <c r="X44" s="3"/>
      <c r="Y44" s="3"/>
      <c r="Z44" s="3"/>
      <c r="AA44" s="3"/>
      <c r="AB44" s="3"/>
      <c r="AC44" s="3"/>
      <c r="AD44" s="3"/>
      <c r="AE44" s="3"/>
    </row>
    <row r="45" spans="1:32" ht="13" x14ac:dyDescent="0.3">
      <c r="C45" s="3"/>
      <c r="D45" s="3"/>
      <c r="E45" s="3"/>
      <c r="F45" s="3"/>
      <c r="G45" s="3"/>
      <c r="H45" s="3"/>
      <c r="I45" s="3"/>
      <c r="J45" s="3"/>
      <c r="K45" s="3"/>
      <c r="L45" s="3"/>
      <c r="M45" s="3"/>
      <c r="N45" s="3"/>
      <c r="O45" s="3"/>
      <c r="P45" s="3"/>
      <c r="Q45" s="3"/>
      <c r="R45" s="3"/>
      <c r="S45" s="3"/>
      <c r="T45" s="3"/>
      <c r="V45" s="3"/>
      <c r="W45" s="3"/>
      <c r="X45" s="3"/>
      <c r="Y45" s="3"/>
      <c r="Z45" s="3"/>
      <c r="AA45" s="3"/>
      <c r="AB45" s="3"/>
      <c r="AC45" s="3"/>
      <c r="AD45" s="3"/>
      <c r="AE45" s="3"/>
    </row>
    <row r="46" spans="1:32" ht="13" x14ac:dyDescent="0.3">
      <c r="C46" s="3"/>
      <c r="D46" s="3"/>
      <c r="E46" s="3"/>
      <c r="F46" s="3"/>
      <c r="G46" s="3"/>
      <c r="H46" s="3"/>
      <c r="I46" s="3"/>
      <c r="J46" s="3"/>
      <c r="K46" s="3"/>
      <c r="L46" s="3"/>
      <c r="M46" s="3"/>
      <c r="N46" s="3"/>
      <c r="O46" s="3"/>
      <c r="P46" s="3"/>
      <c r="Q46" s="3"/>
      <c r="R46" s="3"/>
      <c r="S46" s="3"/>
      <c r="T46" s="3"/>
      <c r="V46" s="3"/>
      <c r="W46" s="3"/>
      <c r="X46" s="3"/>
      <c r="Y46" s="3"/>
      <c r="Z46" s="3"/>
      <c r="AA46" s="3"/>
      <c r="AB46" s="3"/>
      <c r="AC46" s="3"/>
      <c r="AD46" s="3"/>
      <c r="AE46" s="3"/>
    </row>
    <row r="47" spans="1:32" ht="13" x14ac:dyDescent="0.3">
      <c r="C47" s="3"/>
      <c r="D47" s="3"/>
      <c r="E47" s="3"/>
      <c r="F47" s="3"/>
      <c r="G47" s="3"/>
      <c r="H47" s="3"/>
      <c r="I47" s="3"/>
      <c r="J47" s="3"/>
      <c r="K47" s="3"/>
      <c r="L47" s="3"/>
      <c r="M47" s="3"/>
      <c r="N47" s="3"/>
      <c r="O47" s="3"/>
      <c r="P47" s="3"/>
      <c r="Q47" s="3"/>
      <c r="R47" s="3"/>
      <c r="S47" s="3"/>
      <c r="T47" s="3"/>
      <c r="V47" s="3"/>
      <c r="W47" s="3"/>
      <c r="X47" s="3"/>
      <c r="Y47" s="3"/>
      <c r="Z47" s="3"/>
      <c r="AA47" s="3"/>
      <c r="AB47" s="3"/>
      <c r="AC47" s="3"/>
      <c r="AD47" s="3"/>
      <c r="AE47" s="3"/>
    </row>
    <row r="48" spans="1:32" ht="13" x14ac:dyDescent="0.3">
      <c r="C48" s="3"/>
      <c r="D48" s="3"/>
      <c r="E48" s="3"/>
      <c r="F48" s="3"/>
      <c r="G48" s="3"/>
      <c r="H48" s="3"/>
      <c r="I48" s="3"/>
      <c r="J48" s="3"/>
      <c r="K48" s="3"/>
      <c r="L48" s="3"/>
      <c r="M48" s="3"/>
      <c r="N48" s="3"/>
      <c r="O48" s="3"/>
      <c r="P48" s="3"/>
      <c r="Q48" s="3"/>
      <c r="R48" s="3"/>
      <c r="S48" s="3"/>
      <c r="T48" s="3"/>
      <c r="V48" s="3"/>
      <c r="W48" s="3"/>
      <c r="X48" s="3"/>
      <c r="Y48" s="3"/>
      <c r="Z48" s="3"/>
      <c r="AA48" s="3"/>
      <c r="AB48" s="3"/>
      <c r="AC48" s="3"/>
      <c r="AD48" s="3"/>
      <c r="AE48" s="3"/>
    </row>
    <row r="49" spans="3:31" ht="13" x14ac:dyDescent="0.3">
      <c r="C49" s="3"/>
      <c r="D49" s="3"/>
      <c r="E49" s="3"/>
      <c r="F49" s="3"/>
      <c r="G49" s="3"/>
      <c r="H49" s="3"/>
      <c r="I49" s="3"/>
      <c r="J49" s="3"/>
      <c r="K49" s="3"/>
      <c r="L49" s="3"/>
      <c r="M49" s="3"/>
      <c r="N49" s="3"/>
      <c r="O49" s="3"/>
      <c r="P49" s="3"/>
      <c r="Q49" s="3"/>
      <c r="R49" s="3"/>
      <c r="S49" s="3"/>
      <c r="T49" s="3"/>
      <c r="V49" s="3"/>
      <c r="W49" s="3"/>
      <c r="X49" s="3"/>
      <c r="Y49" s="3"/>
      <c r="Z49" s="3"/>
      <c r="AA49" s="3"/>
      <c r="AB49" s="3"/>
      <c r="AC49" s="3"/>
      <c r="AD49" s="3"/>
      <c r="AE49" s="3"/>
    </row>
    <row r="50" spans="3:31" ht="13" x14ac:dyDescent="0.3">
      <c r="C50" s="3"/>
      <c r="D50" s="3"/>
      <c r="E50" s="3"/>
      <c r="F50" s="3"/>
      <c r="G50" s="3"/>
      <c r="H50" s="3"/>
      <c r="I50" s="3"/>
      <c r="J50" s="3"/>
      <c r="K50" s="3"/>
      <c r="L50" s="3"/>
      <c r="M50" s="3"/>
      <c r="N50" s="3"/>
      <c r="O50" s="3"/>
      <c r="P50" s="3"/>
      <c r="Q50" s="3"/>
      <c r="R50" s="3"/>
      <c r="S50" s="3"/>
      <c r="T50" s="3"/>
      <c r="V50" s="3"/>
      <c r="W50" s="3"/>
      <c r="X50" s="3"/>
      <c r="Y50" s="3"/>
      <c r="Z50" s="3"/>
      <c r="AA50" s="3"/>
      <c r="AB50" s="3"/>
      <c r="AC50" s="3"/>
      <c r="AD50" s="3"/>
      <c r="AE50" s="3"/>
    </row>
    <row r="51" spans="3:31" ht="13" x14ac:dyDescent="0.3">
      <c r="C51" s="3"/>
      <c r="D51" s="3"/>
      <c r="E51" s="3"/>
      <c r="F51" s="3"/>
      <c r="G51" s="3"/>
      <c r="H51" s="3"/>
      <c r="I51" s="3"/>
      <c r="J51" s="3"/>
      <c r="K51" s="3"/>
      <c r="L51" s="3"/>
      <c r="M51" s="3"/>
      <c r="N51" s="3"/>
      <c r="O51" s="3"/>
      <c r="P51" s="3"/>
      <c r="Q51" s="3"/>
      <c r="R51" s="3"/>
      <c r="S51" s="3"/>
      <c r="T51" s="3"/>
      <c r="V51" s="3"/>
      <c r="W51" s="3"/>
      <c r="X51" s="3"/>
      <c r="Y51" s="3"/>
      <c r="Z51" s="3"/>
      <c r="AA51" s="3"/>
      <c r="AB51" s="3"/>
      <c r="AC51" s="3"/>
      <c r="AD51" s="3"/>
      <c r="AE51" s="3"/>
    </row>
    <row r="52" spans="3:31" ht="13" x14ac:dyDescent="0.3">
      <c r="C52" s="3"/>
      <c r="D52" s="3"/>
      <c r="E52" s="3"/>
      <c r="F52" s="3"/>
      <c r="G52" s="3"/>
      <c r="H52" s="3"/>
      <c r="I52" s="3"/>
      <c r="J52" s="3"/>
      <c r="K52" s="3"/>
      <c r="L52" s="3"/>
      <c r="M52" s="3"/>
      <c r="N52" s="3"/>
      <c r="O52" s="3"/>
      <c r="P52" s="3"/>
      <c r="Q52" s="3"/>
      <c r="R52" s="3"/>
      <c r="S52" s="3"/>
      <c r="T52" s="3"/>
      <c r="V52" s="3"/>
      <c r="W52" s="3"/>
      <c r="X52" s="3"/>
      <c r="Y52" s="3"/>
      <c r="Z52" s="3"/>
      <c r="AA52" s="3"/>
      <c r="AB52" s="3"/>
      <c r="AC52" s="3"/>
      <c r="AD52" s="3"/>
      <c r="AE52" s="3"/>
    </row>
    <row r="53" spans="3:31" ht="13" x14ac:dyDescent="0.3">
      <c r="C53" s="3"/>
      <c r="D53" s="3"/>
      <c r="E53" s="3"/>
      <c r="F53" s="3"/>
      <c r="G53" s="3"/>
      <c r="H53" s="3"/>
      <c r="I53" s="3"/>
      <c r="J53" s="3"/>
      <c r="K53" s="3"/>
      <c r="L53" s="3"/>
      <c r="M53" s="3"/>
      <c r="N53" s="3"/>
      <c r="O53" s="3"/>
      <c r="P53" s="3"/>
      <c r="Q53" s="3"/>
      <c r="R53" s="3"/>
      <c r="S53" s="3"/>
      <c r="T53" s="3"/>
      <c r="V53" s="3"/>
      <c r="W53" s="3"/>
      <c r="X53" s="3"/>
      <c r="Y53" s="3"/>
      <c r="Z53" s="3"/>
      <c r="AA53" s="3"/>
      <c r="AB53" s="3"/>
      <c r="AC53" s="3"/>
      <c r="AD53" s="3"/>
      <c r="AE53" s="3"/>
    </row>
  </sheetData>
  <mergeCells count="108">
    <mergeCell ref="AF5:AF10"/>
    <mergeCell ref="AF14:AF15"/>
    <mergeCell ref="AF12:AF13"/>
    <mergeCell ref="K38:L38"/>
    <mergeCell ref="K33:L33"/>
    <mergeCell ref="K37:L37"/>
    <mergeCell ref="K34:L34"/>
    <mergeCell ref="K35:L35"/>
    <mergeCell ref="K36:L36"/>
    <mergeCell ref="W16:W18"/>
    <mergeCell ref="K32:L32"/>
    <mergeCell ref="AE5:AE17"/>
    <mergeCell ref="Y8:Y14"/>
    <mergeCell ref="Q11:Q12"/>
    <mergeCell ref="W11:W12"/>
    <mergeCell ref="Y5:Z7"/>
    <mergeCell ref="AD5:AD17"/>
    <mergeCell ref="AA5:AA10"/>
    <mergeCell ref="Q14:Q16"/>
    <mergeCell ref="W13:W14"/>
    <mergeCell ref="AB16:AB17"/>
    <mergeCell ref="R5:R12"/>
    <mergeCell ref="S5:S12"/>
    <mergeCell ref="W5:W8"/>
    <mergeCell ref="C37:D37"/>
    <mergeCell ref="E37:F37"/>
    <mergeCell ref="C38:D38"/>
    <mergeCell ref="E38:F38"/>
    <mergeCell ref="I37:J37"/>
    <mergeCell ref="I38:J38"/>
    <mergeCell ref="O19:O20"/>
    <mergeCell ref="I34:J34"/>
    <mergeCell ref="C36:D36"/>
    <mergeCell ref="E36:F36"/>
    <mergeCell ref="C35:D35"/>
    <mergeCell ref="E35:F35"/>
    <mergeCell ref="I35:J35"/>
    <mergeCell ref="I33:J33"/>
    <mergeCell ref="E34:F34"/>
    <mergeCell ref="I36:J36"/>
    <mergeCell ref="C31:D31"/>
    <mergeCell ref="E31:F31"/>
    <mergeCell ref="C28:D28"/>
    <mergeCell ref="E28:F28"/>
    <mergeCell ref="C30:D30"/>
    <mergeCell ref="E30:F30"/>
    <mergeCell ref="C29:D29"/>
    <mergeCell ref="E29:F29"/>
    <mergeCell ref="T5:T12"/>
    <mergeCell ref="U4:U23"/>
    <mergeCell ref="T16:T18"/>
    <mergeCell ref="AC5:AC17"/>
    <mergeCell ref="AB5:AB9"/>
    <mergeCell ref="V5:V17"/>
    <mergeCell ref="Z8:Z15"/>
    <mergeCell ref="Q5:Q9"/>
    <mergeCell ref="X5:X9"/>
    <mergeCell ref="M5:M11"/>
    <mergeCell ref="Q17:Q18"/>
    <mergeCell ref="C17:D22"/>
    <mergeCell ref="C34:D34"/>
    <mergeCell ref="C32:D32"/>
    <mergeCell ref="E32:F32"/>
    <mergeCell ref="C33:D33"/>
    <mergeCell ref="E33:F33"/>
    <mergeCell ref="O5:O9"/>
    <mergeCell ref="O11:O12"/>
    <mergeCell ref="I23:J23"/>
    <mergeCell ref="N5:N14"/>
    <mergeCell ref="P5:P11"/>
    <mergeCell ref="K27:L27"/>
    <mergeCell ref="G17:H22"/>
    <mergeCell ref="I17:J22"/>
    <mergeCell ref="C16:L16"/>
    <mergeCell ref="E23:F23"/>
    <mergeCell ref="I25:J25"/>
    <mergeCell ref="I27:J27"/>
    <mergeCell ref="K26:L26"/>
    <mergeCell ref="K24:L24"/>
    <mergeCell ref="E25:F25"/>
    <mergeCell ref="K17:L22"/>
    <mergeCell ref="A4:A23"/>
    <mergeCell ref="C4:L4"/>
    <mergeCell ref="I26:J26"/>
    <mergeCell ref="C24:D24"/>
    <mergeCell ref="B5:B23"/>
    <mergeCell ref="C5:L15"/>
    <mergeCell ref="C25:D25"/>
    <mergeCell ref="K25:L25"/>
    <mergeCell ref="K23:L23"/>
    <mergeCell ref="I24:J24"/>
    <mergeCell ref="C23:D23"/>
    <mergeCell ref="C26:D26"/>
    <mergeCell ref="E26:F26"/>
    <mergeCell ref="E17:F22"/>
    <mergeCell ref="I32:J32"/>
    <mergeCell ref="K28:L28"/>
    <mergeCell ref="K31:L31"/>
    <mergeCell ref="K29:L29"/>
    <mergeCell ref="K30:L30"/>
    <mergeCell ref="C27:D27"/>
    <mergeCell ref="E27:F27"/>
    <mergeCell ref="E24:F24"/>
    <mergeCell ref="G23:H23"/>
    <mergeCell ref="I28:J28"/>
    <mergeCell ref="I29:J29"/>
    <mergeCell ref="I30:J30"/>
    <mergeCell ref="I31:J31"/>
  </mergeCells>
  <pageMargins left="0.314" right="0.314" top="0.11799999999999999" bottom="0.27500000000000002" header="0.157" footer="0.11799999999999999"/>
  <pageSetup scale="87" firstPageNumber="61" orientation="landscape" r:id="rId1"/>
  <headerFooter>
    <oddFooter>&amp;C&amp;P</oddFooter>
  </headerFooter>
  <colBreaks count="1" manualBreakCount="1">
    <brk id="20" max="37"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40"/>
  <sheetViews>
    <sheetView zoomScale="120" zoomScaleNormal="110" zoomScaleSheetLayoutView="120" zoomScalePageLayoutView="90" workbookViewId="0">
      <selection activeCell="C5" sqref="C5:C16"/>
    </sheetView>
  </sheetViews>
  <sheetFormatPr defaultColWidth="8.81640625" defaultRowHeight="12.5" x14ac:dyDescent="0.25"/>
  <cols>
    <col min="1" max="1" width="3.453125" customWidth="1"/>
    <col min="2" max="2" width="7.453125" customWidth="1"/>
    <col min="3" max="5" width="11.7265625" customWidth="1"/>
    <col min="6" max="6" width="14.1796875" customWidth="1"/>
    <col min="7" max="8" width="11.7265625" customWidth="1"/>
    <col min="9" max="9" width="14.1796875" customWidth="1"/>
    <col min="10" max="11" width="11.7265625" customWidth="1"/>
    <col min="12" max="12" width="3.453125" customWidth="1"/>
    <col min="13" max="13" width="14.1796875" customWidth="1"/>
    <col min="14" max="15" width="9.7265625" customWidth="1"/>
    <col min="16" max="16" width="11.1796875" customWidth="1"/>
    <col min="17" max="18" width="9.7265625" customWidth="1"/>
    <col min="19" max="19" width="14.1796875" customWidth="1"/>
    <col min="20" max="21" width="9.7265625" customWidth="1"/>
    <col min="22" max="22" width="14.1796875" customWidth="1"/>
    <col min="23" max="24" width="9.7265625" customWidth="1"/>
  </cols>
  <sheetData>
    <row r="1" spans="1:24" ht="13" x14ac:dyDescent="0.3">
      <c r="A1" s="657" t="s">
        <v>948</v>
      </c>
      <c r="B1" s="657"/>
      <c r="C1" s="218"/>
      <c r="D1" s="218"/>
      <c r="E1" s="218"/>
      <c r="F1" s="218"/>
      <c r="G1" s="218"/>
      <c r="H1" s="218"/>
      <c r="I1" s="218"/>
      <c r="J1" s="218"/>
      <c r="K1" s="218"/>
      <c r="L1" s="657" t="s">
        <v>948</v>
      </c>
      <c r="M1" s="218"/>
      <c r="N1" s="218"/>
      <c r="O1" s="218"/>
      <c r="P1" s="218"/>
      <c r="Q1" s="218"/>
      <c r="R1" s="218"/>
      <c r="S1" s="218"/>
      <c r="T1" s="218"/>
      <c r="U1" s="218"/>
      <c r="V1" s="218"/>
      <c r="W1" s="218"/>
      <c r="X1" s="218"/>
    </row>
    <row r="2" spans="1:24" ht="13" x14ac:dyDescent="0.3">
      <c r="A2" s="657"/>
      <c r="B2" s="657"/>
      <c r="C2" s="218"/>
      <c r="D2" s="218"/>
      <c r="E2" s="218"/>
      <c r="F2" s="218"/>
      <c r="G2" s="218"/>
      <c r="H2" s="218"/>
      <c r="I2" s="218"/>
      <c r="J2" s="218"/>
      <c r="K2" s="218"/>
      <c r="L2" s="657"/>
      <c r="M2" s="218"/>
      <c r="N2" s="218"/>
      <c r="O2" s="218"/>
      <c r="P2" s="218"/>
      <c r="Q2" s="218"/>
      <c r="R2" s="218"/>
      <c r="S2" s="218"/>
      <c r="T2" s="218"/>
      <c r="U2" s="218"/>
      <c r="V2" s="218"/>
      <c r="W2" s="218"/>
      <c r="X2" s="218"/>
    </row>
    <row r="3" spans="1:24" ht="13" x14ac:dyDescent="0.25">
      <c r="A3" s="216"/>
      <c r="B3" s="2091" t="s">
        <v>949</v>
      </c>
      <c r="C3" s="216"/>
      <c r="D3" s="216"/>
      <c r="E3" s="216"/>
      <c r="F3" s="216"/>
      <c r="G3" s="216"/>
      <c r="H3" s="216"/>
      <c r="I3" s="216"/>
      <c r="J3" s="216"/>
      <c r="K3" s="216"/>
      <c r="L3" s="216"/>
      <c r="M3" s="216"/>
      <c r="N3" s="216"/>
      <c r="O3" s="216"/>
      <c r="P3" s="216"/>
      <c r="Q3" s="216"/>
      <c r="R3" s="216"/>
      <c r="S3" s="216"/>
      <c r="T3" s="216"/>
      <c r="U3" s="216"/>
      <c r="V3" s="216"/>
      <c r="W3" s="216"/>
      <c r="X3" s="216"/>
    </row>
    <row r="4" spans="1:24" ht="13.5" customHeight="1" x14ac:dyDescent="0.25">
      <c r="A4" s="2766" t="s">
        <v>170</v>
      </c>
      <c r="B4" s="1306" t="s">
        <v>950</v>
      </c>
      <c r="C4" s="1307" t="s">
        <v>951</v>
      </c>
      <c r="D4" s="1306" t="s">
        <v>952</v>
      </c>
      <c r="E4" s="1306" t="s">
        <v>953</v>
      </c>
      <c r="F4" s="1306" t="s">
        <v>954</v>
      </c>
      <c r="G4" s="1306" t="s">
        <v>955</v>
      </c>
      <c r="H4" s="1306" t="s">
        <v>956</v>
      </c>
      <c r="I4" s="1306" t="s">
        <v>957</v>
      </c>
      <c r="J4" s="1306" t="s">
        <v>958</v>
      </c>
      <c r="K4" s="1306" t="s">
        <v>959</v>
      </c>
      <c r="L4" s="2766" t="s">
        <v>170</v>
      </c>
      <c r="M4" s="1309" t="s">
        <v>960</v>
      </c>
      <c r="N4" s="1308" t="s">
        <v>961</v>
      </c>
      <c r="O4" s="1308" t="s">
        <v>962</v>
      </c>
      <c r="P4" s="1308" t="s">
        <v>963</v>
      </c>
      <c r="Q4" s="1308" t="s">
        <v>964</v>
      </c>
      <c r="R4" s="1308" t="s">
        <v>965</v>
      </c>
      <c r="S4" s="1308" t="s">
        <v>966</v>
      </c>
      <c r="T4" s="1308" t="s">
        <v>967</v>
      </c>
      <c r="U4" s="1308" t="s">
        <v>968</v>
      </c>
      <c r="V4" s="1307" t="s">
        <v>969</v>
      </c>
      <c r="W4" s="1306" t="s">
        <v>970</v>
      </c>
      <c r="X4" s="1306" t="s">
        <v>971</v>
      </c>
    </row>
    <row r="5" spans="1:24" ht="12.75" customHeight="1" x14ac:dyDescent="0.25">
      <c r="A5" s="2767"/>
      <c r="B5" s="2854" t="s">
        <v>972</v>
      </c>
      <c r="C5" s="2787" t="s">
        <v>973</v>
      </c>
      <c r="D5" s="2783" t="s">
        <v>974</v>
      </c>
      <c r="E5" s="2783" t="s">
        <v>975</v>
      </c>
      <c r="F5" s="2783" t="s">
        <v>976</v>
      </c>
      <c r="G5" s="2783" t="s">
        <v>977</v>
      </c>
      <c r="H5" s="2783" t="s">
        <v>978</v>
      </c>
      <c r="I5" s="2783" t="s">
        <v>979</v>
      </c>
      <c r="J5" s="2783" t="s">
        <v>980</v>
      </c>
      <c r="K5" s="2783" t="s">
        <v>981</v>
      </c>
      <c r="L5" s="2767"/>
      <c r="M5" s="2854" t="s">
        <v>982</v>
      </c>
      <c r="N5" s="2783" t="s">
        <v>983</v>
      </c>
      <c r="O5" s="2783" t="s">
        <v>984</v>
      </c>
      <c r="P5" s="2783" t="s">
        <v>985</v>
      </c>
      <c r="Q5" s="2783" t="s">
        <v>986</v>
      </c>
      <c r="R5" s="2783" t="s">
        <v>987</v>
      </c>
      <c r="S5" s="2783" t="s">
        <v>988</v>
      </c>
      <c r="T5" s="2783" t="s">
        <v>989</v>
      </c>
      <c r="U5" s="2783" t="s">
        <v>990</v>
      </c>
      <c r="V5" s="2783" t="s">
        <v>991</v>
      </c>
      <c r="W5" s="2783" t="s">
        <v>992</v>
      </c>
      <c r="X5" s="2783" t="s">
        <v>993</v>
      </c>
    </row>
    <row r="6" spans="1:24" ht="12.75" customHeight="1" x14ac:dyDescent="0.25">
      <c r="A6" s="2767"/>
      <c r="B6" s="2854"/>
      <c r="C6" s="2787"/>
      <c r="D6" s="2783"/>
      <c r="E6" s="2783"/>
      <c r="F6" s="2783"/>
      <c r="G6" s="2783"/>
      <c r="H6" s="2783"/>
      <c r="I6" s="2783"/>
      <c r="J6" s="2783"/>
      <c r="K6" s="2783"/>
      <c r="L6" s="2767"/>
      <c r="M6" s="2854"/>
      <c r="N6" s="2783"/>
      <c r="O6" s="2783"/>
      <c r="P6" s="2783"/>
      <c r="Q6" s="2783"/>
      <c r="R6" s="2783"/>
      <c r="S6" s="2783"/>
      <c r="T6" s="2783"/>
      <c r="U6" s="2783"/>
      <c r="V6" s="2783"/>
      <c r="W6" s="2783"/>
      <c r="X6" s="2783"/>
    </row>
    <row r="7" spans="1:24" ht="12.75" customHeight="1" x14ac:dyDescent="0.25">
      <c r="A7" s="2767"/>
      <c r="B7" s="2854"/>
      <c r="C7" s="2787"/>
      <c r="D7" s="2783"/>
      <c r="E7" s="2783"/>
      <c r="F7" s="2783"/>
      <c r="G7" s="2783"/>
      <c r="H7" s="2783"/>
      <c r="I7" s="2783"/>
      <c r="J7" s="2783"/>
      <c r="K7" s="2783"/>
      <c r="L7" s="2767"/>
      <c r="M7" s="2854"/>
      <c r="N7" s="2783"/>
      <c r="O7" s="2783"/>
      <c r="P7" s="2783"/>
      <c r="Q7" s="2783"/>
      <c r="R7" s="2783"/>
      <c r="S7" s="2783"/>
      <c r="T7" s="2783"/>
      <c r="U7" s="2783"/>
      <c r="V7" s="2783"/>
      <c r="W7" s="2783"/>
      <c r="X7" s="2783"/>
    </row>
    <row r="8" spans="1:24" ht="12.75" customHeight="1" x14ac:dyDescent="0.25">
      <c r="A8" s="2767"/>
      <c r="B8" s="2854"/>
      <c r="C8" s="2787"/>
      <c r="D8" s="2783"/>
      <c r="E8" s="2783"/>
      <c r="F8" s="2783"/>
      <c r="G8" s="2783"/>
      <c r="H8" s="2783"/>
      <c r="I8" s="2783"/>
      <c r="J8" s="2783"/>
      <c r="K8" s="2783"/>
      <c r="L8" s="2767"/>
      <c r="M8" s="2854"/>
      <c r="N8" s="2783"/>
      <c r="O8" s="2783"/>
      <c r="P8" s="2783"/>
      <c r="Q8" s="2783"/>
      <c r="R8" s="2783"/>
      <c r="S8" s="2783"/>
      <c r="T8" s="2783"/>
      <c r="U8" s="2783"/>
      <c r="V8" s="2783"/>
      <c r="W8" s="2783"/>
      <c r="X8" s="2783"/>
    </row>
    <row r="9" spans="1:24" ht="13.5" customHeight="1" x14ac:dyDescent="0.25">
      <c r="A9" s="2767"/>
      <c r="B9" s="2854"/>
      <c r="C9" s="2787"/>
      <c r="D9" s="2783"/>
      <c r="E9" s="2783"/>
      <c r="F9" s="2783"/>
      <c r="G9" s="2783"/>
      <c r="H9" s="2783"/>
      <c r="I9" s="2783"/>
      <c r="J9" s="2783"/>
      <c r="K9" s="2783"/>
      <c r="L9" s="2767"/>
      <c r="M9" s="2854"/>
      <c r="N9" s="2783"/>
      <c r="O9" s="2783"/>
      <c r="P9" s="2783"/>
      <c r="Q9" s="2783"/>
      <c r="R9" s="2783"/>
      <c r="S9" s="2783"/>
      <c r="T9" s="2783"/>
      <c r="U9" s="2783"/>
      <c r="V9" s="2783"/>
      <c r="W9" s="2783"/>
      <c r="X9" s="2783"/>
    </row>
    <row r="10" spans="1:24" ht="13.5" customHeight="1" x14ac:dyDescent="0.25">
      <c r="A10" s="2767"/>
      <c r="B10" s="2854"/>
      <c r="C10" s="2787"/>
      <c r="D10" s="2783"/>
      <c r="E10" s="2783"/>
      <c r="F10" s="2783"/>
      <c r="G10" s="2783"/>
      <c r="H10" s="2783"/>
      <c r="I10" s="2783"/>
      <c r="J10" s="2783"/>
      <c r="K10" s="2783"/>
      <c r="L10" s="2767"/>
      <c r="M10" s="2854"/>
      <c r="N10" s="2783"/>
      <c r="O10" s="2783"/>
      <c r="P10" s="2783"/>
      <c r="Q10" s="2783"/>
      <c r="R10" s="2783"/>
      <c r="S10" s="2783"/>
      <c r="T10" s="2783"/>
      <c r="U10" s="2783"/>
      <c r="V10" s="2783"/>
      <c r="W10" s="2783"/>
      <c r="X10" s="2783"/>
    </row>
    <row r="11" spans="1:24" ht="13.5" customHeight="1" x14ac:dyDescent="0.25">
      <c r="A11" s="2767"/>
      <c r="B11" s="2854"/>
      <c r="C11" s="2787"/>
      <c r="D11" s="2783"/>
      <c r="E11" s="2783"/>
      <c r="F11" s="2783"/>
      <c r="G11" s="2783"/>
      <c r="H11" s="2783"/>
      <c r="I11" s="2783"/>
      <c r="J11" s="2783"/>
      <c r="K11" s="2783"/>
      <c r="L11" s="2767"/>
      <c r="M11" s="2854"/>
      <c r="N11" s="2783"/>
      <c r="O11" s="2783"/>
      <c r="P11" s="2783"/>
      <c r="Q11" s="2783"/>
      <c r="R11" s="2783"/>
      <c r="S11" s="2783"/>
      <c r="T11" s="2783"/>
      <c r="U11" s="2783"/>
      <c r="V11" s="2783"/>
      <c r="W11" s="2783"/>
      <c r="X11" s="2783"/>
    </row>
    <row r="12" spans="1:24" ht="13.5" customHeight="1" x14ac:dyDescent="0.25">
      <c r="A12" s="2767"/>
      <c r="B12" s="2854"/>
      <c r="C12" s="2787"/>
      <c r="D12" s="2783"/>
      <c r="E12" s="2783"/>
      <c r="F12" s="2783"/>
      <c r="G12" s="2783"/>
      <c r="H12" s="2783"/>
      <c r="I12" s="2783"/>
      <c r="J12" s="2783"/>
      <c r="K12" s="2783"/>
      <c r="L12" s="2767"/>
      <c r="M12" s="2854"/>
      <c r="N12" s="2783"/>
      <c r="O12" s="2783"/>
      <c r="P12" s="2783"/>
      <c r="Q12" s="2783"/>
      <c r="R12" s="2783"/>
      <c r="S12" s="2783"/>
      <c r="T12" s="2783"/>
      <c r="U12" s="2783"/>
      <c r="V12" s="2783"/>
      <c r="W12" s="2783"/>
      <c r="X12" s="2783"/>
    </row>
    <row r="13" spans="1:24" ht="13.5" customHeight="1" x14ac:dyDescent="0.25">
      <c r="A13" s="2767"/>
      <c r="B13" s="2854"/>
      <c r="C13" s="2787"/>
      <c r="D13" s="2783"/>
      <c r="E13" s="2783"/>
      <c r="F13" s="2783"/>
      <c r="G13" s="2783"/>
      <c r="H13" s="2783"/>
      <c r="I13" s="2783"/>
      <c r="J13" s="2783"/>
      <c r="K13" s="2783"/>
      <c r="L13" s="2767"/>
      <c r="M13" s="2854"/>
      <c r="N13" s="2783"/>
      <c r="O13" s="2783"/>
      <c r="P13" s="2783"/>
      <c r="Q13" s="2783"/>
      <c r="R13" s="2783"/>
      <c r="S13" s="2783"/>
      <c r="T13" s="2783"/>
      <c r="U13" s="2783"/>
      <c r="V13" s="2783"/>
      <c r="W13" s="2783"/>
      <c r="X13" s="2783"/>
    </row>
    <row r="14" spans="1:24" ht="13.5" customHeight="1" x14ac:dyDescent="0.25">
      <c r="A14" s="2767"/>
      <c r="B14" s="2854"/>
      <c r="C14" s="2787"/>
      <c r="D14" s="2783"/>
      <c r="E14" s="2783"/>
      <c r="F14" s="2783"/>
      <c r="G14" s="2783"/>
      <c r="H14" s="2783"/>
      <c r="I14" s="2453"/>
      <c r="J14" s="2783"/>
      <c r="K14" s="2783"/>
      <c r="L14" s="2767"/>
      <c r="M14" s="2854"/>
      <c r="N14" s="2783"/>
      <c r="O14" s="2783"/>
      <c r="P14" s="2783"/>
      <c r="Q14" s="2783"/>
      <c r="R14" s="2783"/>
      <c r="S14" s="2783"/>
      <c r="T14" s="2783"/>
      <c r="U14" s="2783"/>
      <c r="V14" s="2783"/>
      <c r="W14" s="2783"/>
      <c r="X14" s="2783"/>
    </row>
    <row r="15" spans="1:24" ht="13.5" customHeight="1" x14ac:dyDescent="0.25">
      <c r="A15" s="2767"/>
      <c r="B15" s="2854"/>
      <c r="C15" s="2787"/>
      <c r="D15" s="2783"/>
      <c r="E15" s="2783"/>
      <c r="F15" s="2366"/>
      <c r="G15" s="2783"/>
      <c r="H15" s="2783"/>
      <c r="I15" s="2453"/>
      <c r="J15" s="2783"/>
      <c r="K15" s="2783"/>
      <c r="L15" s="2767"/>
      <c r="M15" s="2370"/>
      <c r="N15" s="2783"/>
      <c r="O15" s="2783"/>
      <c r="P15" s="2783"/>
      <c r="Q15" s="2783"/>
      <c r="R15" s="2783"/>
      <c r="S15" s="2783"/>
      <c r="T15" s="2783"/>
      <c r="U15" s="2783"/>
      <c r="V15" s="2428"/>
      <c r="W15" s="2783"/>
      <c r="X15" s="2783"/>
    </row>
    <row r="16" spans="1:24" ht="13.5" customHeight="1" x14ac:dyDescent="0.25">
      <c r="A16" s="2767"/>
      <c r="B16" s="2854"/>
      <c r="C16" s="2787"/>
      <c r="D16" s="2783"/>
      <c r="E16" s="2783"/>
      <c r="F16" s="2366"/>
      <c r="G16" s="2783"/>
      <c r="H16" s="2783"/>
      <c r="I16" s="2453"/>
      <c r="J16" s="2783"/>
      <c r="K16" s="2783"/>
      <c r="L16" s="2767"/>
      <c r="M16" s="2370"/>
      <c r="N16" s="2783"/>
      <c r="O16" s="2783"/>
      <c r="P16" s="2366"/>
      <c r="Q16" s="2783"/>
      <c r="R16" s="2783"/>
      <c r="S16" s="2783"/>
      <c r="T16" s="2783"/>
      <c r="U16" s="2783"/>
      <c r="V16" s="2428"/>
      <c r="W16" s="2783"/>
      <c r="X16" s="2783"/>
    </row>
    <row r="17" spans="1:24" ht="13.5" customHeight="1" x14ac:dyDescent="0.25">
      <c r="A17" s="2767"/>
      <c r="B17" s="1636"/>
      <c r="C17" s="2428"/>
      <c r="D17" s="2783"/>
      <c r="E17" s="2783"/>
      <c r="F17" s="2366"/>
      <c r="G17" s="2783"/>
      <c r="H17" s="2783"/>
      <c r="I17" s="2453"/>
      <c r="J17" s="2783"/>
      <c r="K17" s="2783"/>
      <c r="L17" s="2767"/>
      <c r="M17" s="2370"/>
      <c r="N17" s="2783"/>
      <c r="O17" s="2783"/>
      <c r="P17" s="2366"/>
      <c r="Q17" s="2783"/>
      <c r="R17" s="2783"/>
      <c r="S17" s="2783"/>
      <c r="T17" s="2783"/>
      <c r="U17" s="2783"/>
      <c r="V17" s="2428"/>
      <c r="W17" s="2783"/>
      <c r="X17" s="2783"/>
    </row>
    <row r="18" spans="1:24" ht="13.5" customHeight="1" x14ac:dyDescent="0.25">
      <c r="A18" s="2767"/>
      <c r="B18" s="2854"/>
      <c r="C18" s="2787" t="s">
        <v>994</v>
      </c>
      <c r="D18" s="2783"/>
      <c r="E18" s="2783"/>
      <c r="F18" s="2783" t="str">
        <f>C18</f>
        <v>1 Oui, acheté uniquement</v>
      </c>
      <c r="G18" s="2783"/>
      <c r="H18" s="2783"/>
      <c r="I18" s="2783" t="str">
        <f>F18</f>
        <v>1 Oui, acheté uniquement</v>
      </c>
      <c r="J18" s="2783"/>
      <c r="K18" s="2783"/>
      <c r="L18" s="2767"/>
      <c r="M18" s="2854" t="str">
        <f>I18</f>
        <v>1 Oui, acheté uniquement</v>
      </c>
      <c r="N18" s="2783"/>
      <c r="O18" s="2783"/>
      <c r="P18" s="2783" t="str">
        <f>M18</f>
        <v>1 Oui, acheté uniquement</v>
      </c>
      <c r="Q18" s="2783"/>
      <c r="R18" s="2783"/>
      <c r="S18" s="2783" t="str">
        <f>P18</f>
        <v>1 Oui, acheté uniquement</v>
      </c>
      <c r="T18" s="2783"/>
      <c r="U18" s="2783"/>
      <c r="V18" s="2783" t="str">
        <f>S18</f>
        <v>1 Oui, acheté uniquement</v>
      </c>
      <c r="W18" s="2783"/>
      <c r="X18" s="2783"/>
    </row>
    <row r="19" spans="1:24" ht="13.5" customHeight="1" x14ac:dyDescent="0.25">
      <c r="A19" s="2767"/>
      <c r="B19" s="2854"/>
      <c r="C19" s="2787"/>
      <c r="D19" s="2783"/>
      <c r="E19" s="2783"/>
      <c r="F19" s="2783"/>
      <c r="G19" s="2783"/>
      <c r="H19" s="2783"/>
      <c r="I19" s="2783"/>
      <c r="J19" s="2783"/>
      <c r="K19" s="2783"/>
      <c r="L19" s="2767"/>
      <c r="M19" s="2854"/>
      <c r="N19" s="2783"/>
      <c r="O19" s="2783"/>
      <c r="P19" s="2783"/>
      <c r="Q19" s="2783"/>
      <c r="R19" s="2783"/>
      <c r="S19" s="2783"/>
      <c r="T19" s="2783"/>
      <c r="U19" s="2783"/>
      <c r="V19" s="2783"/>
      <c r="W19" s="2783"/>
      <c r="X19" s="2783"/>
    </row>
    <row r="20" spans="1:24" ht="46" x14ac:dyDescent="0.25">
      <c r="A20" s="2767"/>
      <c r="B20" s="1637"/>
      <c r="C20" s="249" t="str">
        <f>CONCATENATE("2 Oui, reçu en cadeau uniquement ►",E4)</f>
        <v>2 Oui, reçu en cadeau uniquement ►(7A.03)</v>
      </c>
      <c r="D20" s="1304"/>
      <c r="E20" s="1304"/>
      <c r="F20" s="181" t="str">
        <f>CONCATENATE("2 Oui, reçu en cadeau uniquement ►",H4)</f>
        <v>2 Oui, reçu en cadeau uniquement ►(7A.06)</v>
      </c>
      <c r="G20" s="1304"/>
      <c r="H20" s="1304"/>
      <c r="I20" s="181" t="str">
        <f>CONCATENATE("2 Oui, reçu en cadeau uniquement ►",K4)</f>
        <v>2 Oui, reçu en cadeau uniquement ►(7A.09)</v>
      </c>
      <c r="J20" s="1304"/>
      <c r="K20" s="1304"/>
      <c r="L20" s="2767"/>
      <c r="M20" s="181" t="str">
        <f>CONCATENATE("2 Oui, reçu en cadeau uniquement ►",O4)</f>
        <v>2 Oui, reçu en cadeau uniquement ►(7A.12)</v>
      </c>
      <c r="N20" s="1304"/>
      <c r="O20" s="1304"/>
      <c r="P20" s="181" t="str">
        <f>CONCATENATE("2 Oui, reçu en cadeau uniquement ►",R4)</f>
        <v>2 Oui, reçu en cadeau uniquement ►(7A.15)</v>
      </c>
      <c r="Q20" s="2783"/>
      <c r="R20" s="2783"/>
      <c r="S20" s="181" t="str">
        <f>CONCATENATE("2 Oui, reçu en cadeau uniquement ►",U4)</f>
        <v>2 Oui, reçu en cadeau uniquement ►(7A.18)</v>
      </c>
      <c r="T20" s="1304"/>
      <c r="U20" s="1304"/>
      <c r="V20" s="181" t="str">
        <f>CONCATENATE("2 Oui, reçu en cadeau uniquement ►",X4)</f>
        <v>2 Oui, reçu en cadeau uniquement ►(7A.21)</v>
      </c>
      <c r="W20" s="2783"/>
      <c r="X20" s="1304"/>
    </row>
    <row r="21" spans="1:24" ht="23" x14ac:dyDescent="0.25">
      <c r="A21" s="2767"/>
      <c r="B21" s="1638"/>
      <c r="C21" s="2418" t="s">
        <v>995</v>
      </c>
      <c r="D21" s="1305"/>
      <c r="E21" s="1305"/>
      <c r="F21" s="2513" t="str">
        <f>C21</f>
        <v>3 Oui, acheté et recu en cadeau</v>
      </c>
      <c r="G21" s="1305"/>
      <c r="H21" s="1305"/>
      <c r="I21" s="2513" t="str">
        <f>F21</f>
        <v>3 Oui, acheté et recu en cadeau</v>
      </c>
      <c r="J21" s="1305"/>
      <c r="K21" s="1305"/>
      <c r="L21" s="2767"/>
      <c r="M21" s="2513" t="str">
        <f>I21</f>
        <v>3 Oui, acheté et recu en cadeau</v>
      </c>
      <c r="N21" s="1304"/>
      <c r="O21" s="1304"/>
      <c r="P21" s="2513" t="str">
        <f>M21</f>
        <v>3 Oui, acheté et recu en cadeau</v>
      </c>
      <c r="Q21" s="1305"/>
      <c r="R21" s="1305"/>
      <c r="S21" s="2513" t="str">
        <f>P21</f>
        <v>3 Oui, acheté et recu en cadeau</v>
      </c>
      <c r="T21" s="1305"/>
      <c r="U21" s="1305"/>
      <c r="V21" s="2513" t="str">
        <f>S21</f>
        <v>3 Oui, acheté et recu en cadeau</v>
      </c>
      <c r="W21" s="1304"/>
      <c r="X21" s="1304"/>
    </row>
    <row r="22" spans="1:24" ht="13.5" customHeight="1" x14ac:dyDescent="0.25">
      <c r="A22" s="2767"/>
      <c r="B22" s="3276"/>
      <c r="C22" s="3278" t="str">
        <f>CONCATENATE("4 Non ►",F4,)</f>
        <v>4 Non ►(7A.04)</v>
      </c>
      <c r="D22" s="2387"/>
      <c r="E22" s="2387"/>
      <c r="F22" s="3009" t="str">
        <f>CONCATENATE("4 Non ►",I4,)</f>
        <v>4 Non ►(7A.07)</v>
      </c>
      <c r="G22" s="2387"/>
      <c r="H22" s="2387"/>
      <c r="I22" s="3009" t="str">
        <f>CONCATENATE("4 Non ►",M4,)</f>
        <v>4 Non ►(7A.10)</v>
      </c>
      <c r="J22" s="2387"/>
      <c r="K22" s="2387"/>
      <c r="L22" s="2767"/>
      <c r="M22" s="3276" t="str">
        <f>CONCATENATE("4 Non ►",P4,)</f>
        <v>4 Non ►(7A.13)</v>
      </c>
      <c r="N22" s="2387"/>
      <c r="O22" s="2387"/>
      <c r="P22" s="3009" t="str">
        <f>CONCATENATE("4 Non ►",S4,)</f>
        <v>4 Non ►(7A.16)</v>
      </c>
      <c r="Q22" s="1303"/>
      <c r="R22" s="1303"/>
      <c r="S22" s="3009" t="str">
        <f>CONCATENATE("4 Non ►",V4,)</f>
        <v>4 Non ►(7A.19)</v>
      </c>
      <c r="T22" s="2387"/>
      <c r="U22" s="2387"/>
      <c r="V22" s="3009" t="s">
        <v>996</v>
      </c>
      <c r="W22" s="2387"/>
      <c r="X22" s="2387"/>
    </row>
    <row r="23" spans="1:24" x14ac:dyDescent="0.25">
      <c r="A23" s="2767"/>
      <c r="B23" s="3277"/>
      <c r="C23" s="3279"/>
      <c r="D23" s="2387"/>
      <c r="E23" s="2387"/>
      <c r="F23" s="3275"/>
      <c r="G23" s="2387"/>
      <c r="H23" s="2387"/>
      <c r="I23" s="3275"/>
      <c r="J23" s="2387"/>
      <c r="K23" s="2387"/>
      <c r="L23" s="2767"/>
      <c r="M23" s="3277"/>
      <c r="N23" s="1898"/>
      <c r="O23" s="1898"/>
      <c r="P23" s="3275"/>
      <c r="Q23" s="1302"/>
      <c r="R23" s="1302"/>
      <c r="S23" s="3275"/>
      <c r="T23" s="1898"/>
      <c r="U23" s="1898"/>
      <c r="V23" s="3275"/>
      <c r="W23" s="2387"/>
      <c r="X23" s="2387"/>
    </row>
    <row r="24" spans="1:24" ht="14.25" customHeight="1" thickBot="1" x14ac:dyDescent="0.3">
      <c r="A24" s="2768"/>
      <c r="B24" s="1661" t="s">
        <v>170</v>
      </c>
      <c r="C24" s="264" t="s">
        <v>346</v>
      </c>
      <c r="D24" s="264" t="s">
        <v>353</v>
      </c>
      <c r="E24" s="264" t="s">
        <v>353</v>
      </c>
      <c r="F24" s="264" t="s">
        <v>346</v>
      </c>
      <c r="G24" s="264" t="s">
        <v>353</v>
      </c>
      <c r="H24" s="264" t="s">
        <v>353</v>
      </c>
      <c r="I24" s="264" t="s">
        <v>346</v>
      </c>
      <c r="J24" s="264" t="s">
        <v>353</v>
      </c>
      <c r="K24" s="264" t="s">
        <v>353</v>
      </c>
      <c r="L24" s="2768"/>
      <c r="M24" s="1562" t="s">
        <v>346</v>
      </c>
      <c r="N24" s="264" t="s">
        <v>353</v>
      </c>
      <c r="O24" s="264" t="s">
        <v>353</v>
      </c>
      <c r="P24" s="264" t="s">
        <v>346</v>
      </c>
      <c r="Q24" s="264" t="s">
        <v>353</v>
      </c>
      <c r="R24" s="264" t="s">
        <v>353</v>
      </c>
      <c r="S24" s="264" t="s">
        <v>346</v>
      </c>
      <c r="T24" s="264" t="s">
        <v>353</v>
      </c>
      <c r="U24" s="264" t="s">
        <v>353</v>
      </c>
      <c r="V24" s="264" t="s">
        <v>346</v>
      </c>
      <c r="W24" s="264" t="s">
        <v>353</v>
      </c>
      <c r="X24" s="264" t="s">
        <v>353</v>
      </c>
    </row>
    <row r="25" spans="1:24" ht="13.5" thickTop="1" thickBot="1" x14ac:dyDescent="0.3">
      <c r="A25" s="1692">
        <v>98</v>
      </c>
      <c r="B25" s="1693"/>
      <c r="C25" s="1694"/>
      <c r="D25" s="1694"/>
      <c r="E25" s="1694"/>
      <c r="F25" s="1694"/>
      <c r="G25" s="1694"/>
      <c r="H25" s="1694"/>
      <c r="I25" s="1694"/>
      <c r="J25" s="1694"/>
      <c r="K25" s="1694"/>
      <c r="L25" s="1692">
        <v>98</v>
      </c>
      <c r="M25" s="1694"/>
      <c r="N25" s="1694"/>
      <c r="O25" s="1694"/>
      <c r="P25" s="1694"/>
      <c r="Q25" s="1694"/>
      <c r="R25" s="1694"/>
      <c r="S25" s="1694"/>
      <c r="T25" s="1694"/>
      <c r="U25" s="1694"/>
      <c r="V25" s="1694"/>
      <c r="W25" s="1694"/>
      <c r="X25" s="1694"/>
    </row>
    <row r="26" spans="1:24" ht="13" thickTop="1" x14ac:dyDescent="0.25">
      <c r="A26" s="393">
        <v>1</v>
      </c>
      <c r="B26" s="1662"/>
      <c r="C26" s="281"/>
      <c r="D26" s="281"/>
      <c r="E26" s="281"/>
      <c r="F26" s="281"/>
      <c r="G26" s="281"/>
      <c r="H26" s="281"/>
      <c r="I26" s="281"/>
      <c r="J26" s="281"/>
      <c r="K26" s="281"/>
      <c r="L26" s="393">
        <v>1</v>
      </c>
      <c r="M26" s="1663"/>
      <c r="N26" s="281"/>
      <c r="O26" s="281"/>
      <c r="P26" s="281"/>
      <c r="Q26" s="281"/>
      <c r="R26" s="281"/>
      <c r="S26" s="281"/>
      <c r="T26" s="281"/>
      <c r="U26" s="281"/>
      <c r="V26" s="281"/>
      <c r="W26" s="281"/>
      <c r="X26" s="281"/>
    </row>
    <row r="27" spans="1:24" x14ac:dyDescent="0.25">
      <c r="A27" s="65">
        <v>2</v>
      </c>
      <c r="B27" s="1566"/>
      <c r="C27" s="289"/>
      <c r="D27" s="289"/>
      <c r="E27" s="289"/>
      <c r="F27" s="289"/>
      <c r="G27" s="289"/>
      <c r="H27" s="289"/>
      <c r="I27" s="289"/>
      <c r="J27" s="289"/>
      <c r="K27" s="289"/>
      <c r="L27" s="65">
        <v>2</v>
      </c>
      <c r="M27" s="289"/>
      <c r="N27" s="289"/>
      <c r="O27" s="289"/>
      <c r="P27" s="289"/>
      <c r="Q27" s="289"/>
      <c r="R27" s="289"/>
      <c r="S27" s="289"/>
      <c r="T27" s="289"/>
      <c r="U27" s="289"/>
      <c r="V27" s="289"/>
      <c r="W27" s="289"/>
      <c r="X27" s="289"/>
    </row>
    <row r="28" spans="1:24" x14ac:dyDescent="0.25">
      <c r="A28" s="65">
        <v>3</v>
      </c>
      <c r="B28" s="1566"/>
      <c r="C28" s="289"/>
      <c r="D28" s="289"/>
      <c r="E28" s="289"/>
      <c r="F28" s="289"/>
      <c r="G28" s="289"/>
      <c r="H28" s="289"/>
      <c r="I28" s="289"/>
      <c r="J28" s="289"/>
      <c r="K28" s="289"/>
      <c r="L28" s="65">
        <v>3</v>
      </c>
      <c r="M28" s="289"/>
      <c r="N28" s="289"/>
      <c r="O28" s="289"/>
      <c r="P28" s="289"/>
      <c r="Q28" s="289"/>
      <c r="R28" s="289"/>
      <c r="S28" s="289"/>
      <c r="T28" s="289"/>
      <c r="U28" s="289"/>
      <c r="V28" s="289"/>
      <c r="W28" s="289"/>
      <c r="X28" s="289"/>
    </row>
    <row r="29" spans="1:24" x14ac:dyDescent="0.25">
      <c r="A29" s="65">
        <v>4</v>
      </c>
      <c r="B29" s="1566"/>
      <c r="C29" s="289"/>
      <c r="D29" s="289"/>
      <c r="E29" s="289"/>
      <c r="F29" s="289"/>
      <c r="G29" s="289"/>
      <c r="H29" s="289"/>
      <c r="I29" s="289"/>
      <c r="J29" s="289"/>
      <c r="K29" s="289"/>
      <c r="L29" s="65">
        <v>4</v>
      </c>
      <c r="M29" s="289"/>
      <c r="N29" s="289"/>
      <c r="O29" s="289"/>
      <c r="P29" s="289"/>
      <c r="Q29" s="289"/>
      <c r="R29" s="289"/>
      <c r="S29" s="289"/>
      <c r="T29" s="289"/>
      <c r="U29" s="289"/>
      <c r="V29" s="289"/>
      <c r="W29" s="289"/>
      <c r="X29" s="289"/>
    </row>
    <row r="30" spans="1:24" ht="13" thickBot="1" x14ac:dyDescent="0.3">
      <c r="A30" s="65">
        <v>5</v>
      </c>
      <c r="B30" s="1566"/>
      <c r="C30" s="294"/>
      <c r="D30" s="294"/>
      <c r="E30" s="294"/>
      <c r="F30" s="294"/>
      <c r="G30" s="294"/>
      <c r="H30" s="294"/>
      <c r="I30" s="294"/>
      <c r="J30" s="294"/>
      <c r="K30" s="294"/>
      <c r="L30" s="65">
        <v>5</v>
      </c>
      <c r="M30" s="294"/>
      <c r="N30" s="294"/>
      <c r="O30" s="294"/>
      <c r="P30" s="294"/>
      <c r="Q30" s="294"/>
      <c r="R30" s="294"/>
      <c r="S30" s="294"/>
      <c r="T30" s="294"/>
      <c r="U30" s="294"/>
      <c r="V30" s="294"/>
      <c r="W30" s="294"/>
      <c r="X30" s="294"/>
    </row>
    <row r="31" spans="1:24" ht="13" thickTop="1" x14ac:dyDescent="0.25">
      <c r="A31" s="63">
        <v>6</v>
      </c>
      <c r="B31" s="1565"/>
      <c r="C31" s="274"/>
      <c r="D31" s="274"/>
      <c r="E31" s="274"/>
      <c r="F31" s="274"/>
      <c r="G31" s="274"/>
      <c r="H31" s="274"/>
      <c r="I31" s="274"/>
      <c r="J31" s="274"/>
      <c r="K31" s="274"/>
      <c r="L31" s="63">
        <v>6</v>
      </c>
      <c r="M31" s="274"/>
      <c r="N31" s="274"/>
      <c r="O31" s="274"/>
      <c r="P31" s="274"/>
      <c r="Q31" s="274"/>
      <c r="R31" s="274"/>
      <c r="S31" s="274"/>
      <c r="T31" s="274"/>
      <c r="U31" s="274"/>
      <c r="V31" s="274"/>
      <c r="W31" s="274"/>
      <c r="X31" s="274"/>
    </row>
    <row r="32" spans="1:24" x14ac:dyDescent="0.25">
      <c r="A32" s="304">
        <v>7</v>
      </c>
      <c r="B32" s="1567"/>
      <c r="C32" s="281"/>
      <c r="D32" s="281"/>
      <c r="E32" s="281"/>
      <c r="F32" s="281"/>
      <c r="G32" s="281"/>
      <c r="H32" s="281"/>
      <c r="I32" s="281"/>
      <c r="J32" s="281"/>
      <c r="K32" s="281"/>
      <c r="L32" s="304">
        <v>7</v>
      </c>
      <c r="M32" s="281"/>
      <c r="N32" s="281"/>
      <c r="O32" s="281"/>
      <c r="P32" s="281"/>
      <c r="Q32" s="281"/>
      <c r="R32" s="281"/>
      <c r="S32" s="281"/>
      <c r="T32" s="281"/>
      <c r="U32" s="281"/>
      <c r="V32" s="281"/>
      <c r="W32" s="281"/>
      <c r="X32" s="281"/>
    </row>
    <row r="33" spans="1:24" x14ac:dyDescent="0.25">
      <c r="A33" s="65">
        <v>8</v>
      </c>
      <c r="B33" s="1566"/>
      <c r="C33" s="289"/>
      <c r="D33" s="289"/>
      <c r="E33" s="289"/>
      <c r="F33" s="289"/>
      <c r="G33" s="289"/>
      <c r="H33" s="289"/>
      <c r="I33" s="289"/>
      <c r="J33" s="289"/>
      <c r="K33" s="289"/>
      <c r="L33" s="65">
        <v>8</v>
      </c>
      <c r="M33" s="289"/>
      <c r="N33" s="289"/>
      <c r="O33" s="289"/>
      <c r="P33" s="289"/>
      <c r="Q33" s="289"/>
      <c r="R33" s="289"/>
      <c r="S33" s="289"/>
      <c r="T33" s="289"/>
      <c r="U33" s="289"/>
      <c r="V33" s="289"/>
      <c r="W33" s="289"/>
      <c r="X33" s="289"/>
    </row>
    <row r="34" spans="1:24" x14ac:dyDescent="0.25">
      <c r="A34" s="65">
        <v>9</v>
      </c>
      <c r="B34" s="1566"/>
      <c r="C34" s="289"/>
      <c r="D34" s="289"/>
      <c r="E34" s="289"/>
      <c r="F34" s="289"/>
      <c r="G34" s="289"/>
      <c r="H34" s="289"/>
      <c r="I34" s="289"/>
      <c r="J34" s="289"/>
      <c r="K34" s="289"/>
      <c r="L34" s="65">
        <v>9</v>
      </c>
      <c r="M34" s="289"/>
      <c r="N34" s="289"/>
      <c r="O34" s="289"/>
      <c r="P34" s="289"/>
      <c r="Q34" s="289"/>
      <c r="R34" s="289"/>
      <c r="S34" s="289"/>
      <c r="T34" s="289"/>
      <c r="U34" s="289"/>
      <c r="V34" s="289"/>
      <c r="W34" s="289"/>
      <c r="X34" s="289"/>
    </row>
    <row r="35" spans="1:24" ht="13" thickBot="1" x14ac:dyDescent="0.3">
      <c r="A35" s="65">
        <v>10</v>
      </c>
      <c r="B35" s="1566"/>
      <c r="C35" s="294"/>
      <c r="D35" s="294"/>
      <c r="E35" s="294"/>
      <c r="F35" s="294"/>
      <c r="G35" s="294"/>
      <c r="H35" s="294"/>
      <c r="I35" s="294"/>
      <c r="J35" s="294"/>
      <c r="K35" s="294"/>
      <c r="L35" s="65">
        <v>10</v>
      </c>
      <c r="M35" s="294"/>
      <c r="N35" s="294"/>
      <c r="O35" s="294"/>
      <c r="P35" s="294"/>
      <c r="Q35" s="294"/>
      <c r="R35" s="294"/>
      <c r="S35" s="294"/>
      <c r="T35" s="294"/>
      <c r="U35" s="294"/>
      <c r="V35" s="294"/>
      <c r="W35" s="294"/>
      <c r="X35" s="294"/>
    </row>
    <row r="36" spans="1:24" ht="13" thickTop="1" x14ac:dyDescent="0.25">
      <c r="A36" s="63">
        <v>11</v>
      </c>
      <c r="B36" s="1565"/>
      <c r="C36" s="274"/>
      <c r="D36" s="274"/>
      <c r="E36" s="274"/>
      <c r="F36" s="274"/>
      <c r="G36" s="274"/>
      <c r="H36" s="274"/>
      <c r="I36" s="274"/>
      <c r="J36" s="274"/>
      <c r="K36" s="274"/>
      <c r="L36" s="63">
        <v>11</v>
      </c>
      <c r="M36" s="274"/>
      <c r="N36" s="274"/>
      <c r="O36" s="274"/>
      <c r="P36" s="274"/>
      <c r="Q36" s="274"/>
      <c r="R36" s="274"/>
      <c r="S36" s="274"/>
      <c r="T36" s="274"/>
      <c r="U36" s="274"/>
      <c r="V36" s="274"/>
      <c r="W36" s="274"/>
      <c r="X36" s="274"/>
    </row>
    <row r="37" spans="1:24" x14ac:dyDescent="0.25">
      <c r="A37" s="65">
        <v>12</v>
      </c>
      <c r="B37" s="1566"/>
      <c r="C37" s="289"/>
      <c r="D37" s="289"/>
      <c r="E37" s="289"/>
      <c r="F37" s="289"/>
      <c r="G37" s="289"/>
      <c r="H37" s="289"/>
      <c r="I37" s="289"/>
      <c r="J37" s="289"/>
      <c r="K37" s="289"/>
      <c r="L37" s="65">
        <v>12</v>
      </c>
      <c r="M37" s="289"/>
      <c r="N37" s="289"/>
      <c r="O37" s="289"/>
      <c r="P37" s="289"/>
      <c r="Q37" s="289"/>
      <c r="R37" s="289"/>
      <c r="S37" s="289"/>
      <c r="T37" s="289"/>
      <c r="U37" s="289"/>
      <c r="V37" s="289"/>
      <c r="W37" s="289"/>
      <c r="X37" s="289"/>
    </row>
    <row r="38" spans="1:24" x14ac:dyDescent="0.25">
      <c r="A38" s="65">
        <v>13</v>
      </c>
      <c r="B38" s="1566"/>
      <c r="C38" s="289"/>
      <c r="D38" s="289"/>
      <c r="E38" s="289"/>
      <c r="F38" s="289"/>
      <c r="G38" s="289"/>
      <c r="H38" s="289"/>
      <c r="I38" s="289"/>
      <c r="J38" s="289"/>
      <c r="K38" s="289"/>
      <c r="L38" s="65">
        <v>13</v>
      </c>
      <c r="M38" s="289"/>
      <c r="N38" s="289"/>
      <c r="O38" s="289"/>
      <c r="P38" s="289"/>
      <c r="Q38" s="289"/>
      <c r="R38" s="289"/>
      <c r="S38" s="289"/>
      <c r="T38" s="289"/>
      <c r="U38" s="289"/>
      <c r="V38" s="289"/>
      <c r="W38" s="289"/>
      <c r="X38" s="289"/>
    </row>
    <row r="39" spans="1:24" x14ac:dyDescent="0.25">
      <c r="A39" s="65">
        <v>14</v>
      </c>
      <c r="B39" s="1566"/>
      <c r="C39" s="289"/>
      <c r="D39" s="289"/>
      <c r="E39" s="289"/>
      <c r="F39" s="289"/>
      <c r="G39" s="289"/>
      <c r="H39" s="289"/>
      <c r="I39" s="289"/>
      <c r="J39" s="289"/>
      <c r="K39" s="289"/>
      <c r="L39" s="65">
        <v>14</v>
      </c>
      <c r="M39" s="289"/>
      <c r="N39" s="289"/>
      <c r="O39" s="289"/>
      <c r="P39" s="289"/>
      <c r="Q39" s="289"/>
      <c r="R39" s="289"/>
      <c r="S39" s="289"/>
      <c r="T39" s="289"/>
      <c r="U39" s="289"/>
      <c r="V39" s="289"/>
      <c r="W39" s="289"/>
      <c r="X39" s="289"/>
    </row>
    <row r="40" spans="1:24" x14ac:dyDescent="0.25">
      <c r="A40" s="65">
        <v>15</v>
      </c>
      <c r="B40" s="1566"/>
      <c r="C40" s="289"/>
      <c r="D40" s="289"/>
      <c r="E40" s="289"/>
      <c r="F40" s="289"/>
      <c r="G40" s="289"/>
      <c r="H40" s="289"/>
      <c r="I40" s="289"/>
      <c r="J40" s="289"/>
      <c r="K40" s="289"/>
      <c r="L40" s="65">
        <v>15</v>
      </c>
      <c r="M40" s="289"/>
      <c r="N40" s="289"/>
      <c r="O40" s="289"/>
      <c r="P40" s="289"/>
      <c r="Q40" s="289"/>
      <c r="R40" s="289"/>
      <c r="S40" s="289"/>
      <c r="T40" s="289"/>
      <c r="U40" s="289"/>
      <c r="V40" s="289"/>
      <c r="W40" s="289"/>
      <c r="X40" s="289"/>
    </row>
  </sheetData>
  <mergeCells count="40">
    <mergeCell ref="B22:B23"/>
    <mergeCell ref="X5:X19"/>
    <mergeCell ref="U5:U19"/>
    <mergeCell ref="L4:L24"/>
    <mergeCell ref="J5:J19"/>
    <mergeCell ref="K5:K19"/>
    <mergeCell ref="I5:I13"/>
    <mergeCell ref="W5:W20"/>
    <mergeCell ref="D5:D19"/>
    <mergeCell ref="B5:B16"/>
    <mergeCell ref="B18:B19"/>
    <mergeCell ref="S22:S23"/>
    <mergeCell ref="V22:V23"/>
    <mergeCell ref="V5:V14"/>
    <mergeCell ref="V18:V19"/>
    <mergeCell ref="T5:T19"/>
    <mergeCell ref="A4:A24"/>
    <mergeCell ref="E5:E19"/>
    <mergeCell ref="H5:H19"/>
    <mergeCell ref="C5:C16"/>
    <mergeCell ref="R5:R20"/>
    <mergeCell ref="O5:O19"/>
    <mergeCell ref="P22:P23"/>
    <mergeCell ref="F5:F14"/>
    <mergeCell ref="Q5:Q20"/>
    <mergeCell ref="M5:M14"/>
    <mergeCell ref="I18:I19"/>
    <mergeCell ref="M18:M19"/>
    <mergeCell ref="G5:G19"/>
    <mergeCell ref="C18:C19"/>
    <mergeCell ref="F18:F19"/>
    <mergeCell ref="C22:C23"/>
    <mergeCell ref="S18:S19"/>
    <mergeCell ref="P18:P19"/>
    <mergeCell ref="S5:S17"/>
    <mergeCell ref="F22:F23"/>
    <mergeCell ref="I22:I23"/>
    <mergeCell ref="N5:N19"/>
    <mergeCell ref="M22:M23"/>
    <mergeCell ref="P5:P15"/>
  </mergeCells>
  <pageMargins left="0.314" right="0.314" top="0.11799999999999999" bottom="0.27500000000000002" header="0.157" footer="0.11799999999999999"/>
  <pageSetup scale="90" firstPageNumber="49" orientation="landscape" r:id="rId1"/>
  <headerFooter>
    <oddFooter>&amp;C&amp;P</oddFooter>
  </headerFooter>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K187"/>
  <sheetViews>
    <sheetView tabSelected="1" topLeftCell="A45" zoomScale="130" zoomScaleNormal="130" zoomScaleSheetLayoutView="120" workbookViewId="0">
      <selection activeCell="B56" sqref="B56"/>
    </sheetView>
  </sheetViews>
  <sheetFormatPr defaultColWidth="8.81640625" defaultRowHeight="12.5" x14ac:dyDescent="0.25"/>
  <cols>
    <col min="1" max="1" width="5.7265625" style="660" customWidth="1"/>
    <col min="2" max="2" width="36" style="660" customWidth="1"/>
    <col min="3" max="3" width="11" style="659" customWidth="1"/>
    <col min="4" max="4" width="8.7265625" style="660" customWidth="1"/>
    <col min="5" max="5" width="6.7265625" style="660" customWidth="1"/>
    <col min="6" max="6" width="13.26953125" style="660" customWidth="1"/>
    <col min="7" max="7" width="11.1796875" style="660" customWidth="1"/>
    <col min="8" max="8" width="21.1796875" style="660" customWidth="1"/>
    <col min="9" max="9" width="9" style="660" customWidth="1"/>
    <col min="10" max="10" width="7.81640625" style="660" customWidth="1"/>
    <col min="11" max="11" width="11" style="660" customWidth="1"/>
  </cols>
  <sheetData>
    <row r="1" spans="1:11" ht="13" x14ac:dyDescent="0.3">
      <c r="A1" s="657" t="s">
        <v>997</v>
      </c>
      <c r="B1" s="658"/>
      <c r="D1" s="666"/>
      <c r="E1" s="666"/>
    </row>
    <row r="2" spans="1:11" ht="13" x14ac:dyDescent="0.3">
      <c r="A2" s="657"/>
      <c r="B2" s="641" t="s">
        <v>998</v>
      </c>
      <c r="C2" s="7"/>
      <c r="D2" s="666"/>
      <c r="E2" s="666"/>
    </row>
    <row r="3" spans="1:11" ht="13" x14ac:dyDescent="0.3">
      <c r="A3" s="661"/>
      <c r="B3" s="658"/>
      <c r="D3" s="666"/>
      <c r="E3" s="666"/>
    </row>
    <row r="4" spans="1:11" ht="13" x14ac:dyDescent="0.3">
      <c r="A4" s="1301"/>
      <c r="B4" s="1300"/>
      <c r="C4" s="3290" t="s">
        <v>999</v>
      </c>
      <c r="D4" s="3291"/>
      <c r="E4" s="3291"/>
      <c r="F4" s="3291"/>
      <c r="G4" s="3292"/>
      <c r="H4" s="3290" t="s">
        <v>1000</v>
      </c>
      <c r="I4" s="3291"/>
      <c r="J4" s="3291"/>
      <c r="K4" s="3292"/>
    </row>
    <row r="5" spans="1:11" x14ac:dyDescent="0.25">
      <c r="A5" s="645" t="s">
        <v>1001</v>
      </c>
      <c r="B5" s="2500"/>
      <c r="C5" s="1699" t="s">
        <v>1002</v>
      </c>
      <c r="D5" s="3280" t="s">
        <v>1003</v>
      </c>
      <c r="E5" s="3281"/>
      <c r="F5" s="1299" t="s">
        <v>1004</v>
      </c>
      <c r="G5" s="1298" t="s">
        <v>1005</v>
      </c>
      <c r="H5" s="1299" t="s">
        <v>1006</v>
      </c>
      <c r="I5" s="3280" t="s">
        <v>1007</v>
      </c>
      <c r="J5" s="3281"/>
      <c r="K5" s="1298" t="s">
        <v>1008</v>
      </c>
    </row>
    <row r="6" spans="1:11" ht="12.75" customHeight="1" x14ac:dyDescent="0.25">
      <c r="A6" s="3287" t="s">
        <v>1009</v>
      </c>
      <c r="B6" s="3293" t="s">
        <v>1010</v>
      </c>
      <c r="C6" s="3206" t="s">
        <v>1011</v>
      </c>
      <c r="D6" s="3282" t="s">
        <v>1012</v>
      </c>
      <c r="E6" s="3283"/>
      <c r="F6" s="3295" t="s">
        <v>1013</v>
      </c>
      <c r="G6" s="3285" t="s">
        <v>1014</v>
      </c>
      <c r="H6" s="3285" t="s">
        <v>1015</v>
      </c>
      <c r="I6" s="3282" t="s">
        <v>1016</v>
      </c>
      <c r="J6" s="3283"/>
      <c r="K6" s="3285" t="s">
        <v>1017</v>
      </c>
    </row>
    <row r="7" spans="1:11" ht="12.75" customHeight="1" x14ac:dyDescent="0.25">
      <c r="A7" s="3288"/>
      <c r="B7" s="3293"/>
      <c r="C7" s="3206"/>
      <c r="D7" s="3206"/>
      <c r="E7" s="3284"/>
      <c r="F7" s="3296"/>
      <c r="G7" s="3286"/>
      <c r="H7" s="3286"/>
      <c r="I7" s="3206"/>
      <c r="J7" s="3284"/>
      <c r="K7" s="3286"/>
    </row>
    <row r="8" spans="1:11" ht="12.75" customHeight="1" x14ac:dyDescent="0.25">
      <c r="A8" s="3288"/>
      <c r="B8" s="3293"/>
      <c r="C8" s="3206"/>
      <c r="D8" s="3206"/>
      <c r="E8" s="3284"/>
      <c r="F8" s="3296"/>
      <c r="G8" s="3286"/>
      <c r="H8" s="3286"/>
      <c r="I8" s="3206"/>
      <c r="J8" s="3284"/>
      <c r="K8" s="3286"/>
    </row>
    <row r="9" spans="1:11" ht="12.75" customHeight="1" x14ac:dyDescent="0.25">
      <c r="A9" s="3288"/>
      <c r="B9" s="3293"/>
      <c r="C9" s="3206"/>
      <c r="D9" s="3206"/>
      <c r="E9" s="3284"/>
      <c r="F9" s="3296"/>
      <c r="G9" s="3286"/>
      <c r="H9" s="3286"/>
      <c r="I9" s="3206"/>
      <c r="J9" s="3284"/>
      <c r="K9" s="3286"/>
    </row>
    <row r="10" spans="1:11" ht="12.75" customHeight="1" x14ac:dyDescent="0.25">
      <c r="A10" s="3288"/>
      <c r="B10" s="3293"/>
      <c r="C10" s="3206"/>
      <c r="D10" s="3206"/>
      <c r="E10" s="3284"/>
      <c r="F10" s="3296"/>
      <c r="G10" s="3286"/>
      <c r="H10" s="3286"/>
      <c r="I10" s="3206"/>
      <c r="J10" s="3284"/>
      <c r="K10" s="3286"/>
    </row>
    <row r="11" spans="1:11" ht="13.5" customHeight="1" x14ac:dyDescent="0.25">
      <c r="A11" s="3288"/>
      <c r="B11" s="3293"/>
      <c r="C11" s="3206"/>
      <c r="D11" s="3206"/>
      <c r="E11" s="3284"/>
      <c r="F11" s="3296"/>
      <c r="G11" s="3286"/>
      <c r="H11" s="3286"/>
      <c r="I11" s="3206"/>
      <c r="J11" s="3284"/>
      <c r="K11" s="3286"/>
    </row>
    <row r="12" spans="1:11" ht="13.5" customHeight="1" x14ac:dyDescent="0.25">
      <c r="A12" s="3288"/>
      <c r="B12" s="3293"/>
      <c r="C12" s="3206"/>
      <c r="D12" s="3206"/>
      <c r="E12" s="3284"/>
      <c r="F12" s="3296"/>
      <c r="G12" s="3286"/>
      <c r="H12" s="3286"/>
      <c r="I12" s="3206"/>
      <c r="J12" s="3284"/>
      <c r="K12" s="3286"/>
    </row>
    <row r="13" spans="1:11" ht="13.5" customHeight="1" x14ac:dyDescent="0.25">
      <c r="A13" s="3288"/>
      <c r="B13" s="3293"/>
      <c r="C13" s="1700" t="s">
        <v>1018</v>
      </c>
      <c r="D13" s="3206"/>
      <c r="E13" s="3284"/>
      <c r="F13" s="3296"/>
      <c r="G13" s="3286"/>
      <c r="H13" s="3286"/>
      <c r="I13" s="3206"/>
      <c r="J13" s="3284"/>
      <c r="K13" s="3286"/>
    </row>
    <row r="14" spans="1:11" ht="13.5" customHeight="1" x14ac:dyDescent="0.25">
      <c r="A14" s="3288"/>
      <c r="B14" s="3293"/>
      <c r="C14" s="3294" t="str">
        <f>CONCATENATE("2=Non ►Ligne Suivante")</f>
        <v>2=Non ►Ligne Suivante</v>
      </c>
      <c r="D14" s="3206"/>
      <c r="E14" s="3284"/>
      <c r="F14" s="3296"/>
      <c r="G14" s="3286"/>
      <c r="H14" s="3286"/>
      <c r="I14" s="3206"/>
      <c r="J14" s="3284"/>
      <c r="K14" s="3286"/>
    </row>
    <row r="15" spans="1:11" ht="13.5" customHeight="1" x14ac:dyDescent="0.25">
      <c r="A15" s="3288"/>
      <c r="B15" s="3293"/>
      <c r="C15" s="3294"/>
      <c r="D15" s="3206"/>
      <c r="E15" s="3284"/>
      <c r="F15" s="3296"/>
      <c r="G15" s="3286"/>
      <c r="H15" s="3286"/>
      <c r="I15" s="3206"/>
      <c r="J15" s="3284"/>
      <c r="K15" s="3286"/>
    </row>
    <row r="16" spans="1:11" x14ac:dyDescent="0.25">
      <c r="A16" s="3288"/>
      <c r="B16" s="3293"/>
      <c r="C16" s="1641"/>
      <c r="D16" s="1297"/>
      <c r="E16" s="765"/>
      <c r="F16" s="663"/>
      <c r="G16" s="3297"/>
      <c r="H16" s="663"/>
      <c r="I16" s="662"/>
      <c r="J16" s="664"/>
      <c r="K16" s="1296"/>
    </row>
    <row r="17" spans="1:11" ht="16.5" customHeight="1" x14ac:dyDescent="0.25">
      <c r="A17" s="3289"/>
      <c r="B17" s="1508" t="s">
        <v>1019</v>
      </c>
      <c r="C17" s="1503" t="s">
        <v>346</v>
      </c>
      <c r="D17" s="1504" t="s">
        <v>1020</v>
      </c>
      <c r="E17" s="1505" t="s">
        <v>1021</v>
      </c>
      <c r="F17" s="1504" t="s">
        <v>1020</v>
      </c>
      <c r="G17" s="1504" t="s">
        <v>1020</v>
      </c>
      <c r="H17" s="1506" t="s">
        <v>346</v>
      </c>
      <c r="I17" s="1504" t="s">
        <v>1020</v>
      </c>
      <c r="J17" s="1507" t="s">
        <v>1021</v>
      </c>
      <c r="K17" s="1504" t="s">
        <v>1022</v>
      </c>
    </row>
    <row r="18" spans="1:11" x14ac:dyDescent="0.25">
      <c r="A18" s="1502"/>
      <c r="B18" s="1509" t="s">
        <v>1023</v>
      </c>
      <c r="C18" s="1510"/>
      <c r="D18" s="1294"/>
      <c r="E18" s="1295"/>
      <c r="F18" s="1294"/>
      <c r="G18" s="1294"/>
      <c r="H18" s="1294"/>
      <c r="I18" s="1294"/>
      <c r="J18" s="1294"/>
      <c r="K18" s="1294"/>
    </row>
    <row r="19" spans="1:11" s="259" customFormat="1" ht="17.25" customHeight="1" x14ac:dyDescent="0.25">
      <c r="A19" s="1513">
        <v>1</v>
      </c>
      <c r="B19" s="1514" t="s">
        <v>1024</v>
      </c>
      <c r="C19" s="1515"/>
      <c r="D19" s="1516"/>
      <c r="E19" s="1516"/>
      <c r="F19" s="1516"/>
      <c r="G19" s="1516"/>
      <c r="H19" s="1516"/>
      <c r="I19" s="1516"/>
      <c r="J19" s="1516"/>
      <c r="K19" s="1516"/>
    </row>
    <row r="20" spans="1:11" s="259" customFormat="1" ht="17.25" customHeight="1" x14ac:dyDescent="0.25">
      <c r="A20" s="1513">
        <f>A19+1</f>
        <v>2</v>
      </c>
      <c r="B20" s="1514" t="s">
        <v>1025</v>
      </c>
      <c r="C20" s="1349"/>
      <c r="D20" s="1350"/>
      <c r="E20" s="1350"/>
      <c r="F20" s="1350"/>
      <c r="G20" s="1350"/>
      <c r="H20" s="1350"/>
      <c r="I20" s="1350"/>
      <c r="J20" s="1350"/>
      <c r="K20" s="1350"/>
    </row>
    <row r="21" spans="1:11" s="259" customFormat="1" ht="17.25" customHeight="1" x14ac:dyDescent="0.25">
      <c r="A21" s="1513">
        <f t="shared" ref="A21:A99" si="0">A20+1</f>
        <v>3</v>
      </c>
      <c r="B21" s="1514" t="s">
        <v>1026</v>
      </c>
      <c r="C21" s="1349"/>
      <c r="D21" s="1350"/>
      <c r="E21" s="1350"/>
      <c r="F21" s="1350"/>
      <c r="G21" s="1350"/>
      <c r="H21" s="1350"/>
      <c r="I21" s="1350"/>
      <c r="J21" s="1350"/>
      <c r="K21" s="1350"/>
    </row>
    <row r="22" spans="1:11" s="259" customFormat="1" ht="17.25" customHeight="1" x14ac:dyDescent="0.25">
      <c r="A22" s="1513">
        <f t="shared" si="0"/>
        <v>4</v>
      </c>
      <c r="B22" s="1514" t="s">
        <v>1027</v>
      </c>
      <c r="C22" s="1349"/>
      <c r="D22" s="1350"/>
      <c r="E22" s="1350"/>
      <c r="F22" s="1350"/>
      <c r="G22" s="1350"/>
      <c r="H22" s="1350"/>
      <c r="I22" s="1350"/>
      <c r="J22" s="1350"/>
      <c r="K22" s="1350"/>
    </row>
    <row r="23" spans="1:11" ht="17.25" customHeight="1" x14ac:dyDescent="0.25">
      <c r="A23" s="1183">
        <f t="shared" si="0"/>
        <v>5</v>
      </c>
      <c r="B23" s="957" t="s">
        <v>1028</v>
      </c>
      <c r="C23" s="1293"/>
      <c r="D23" s="1292"/>
      <c r="E23" s="1292"/>
      <c r="F23" s="1292"/>
      <c r="G23" s="1292"/>
      <c r="H23" s="1292"/>
      <c r="I23" s="1292"/>
      <c r="J23" s="1292"/>
      <c r="K23" s="1292"/>
    </row>
    <row r="24" spans="1:11" ht="17.25" customHeight="1" x14ac:dyDescent="0.25">
      <c r="A24" s="1183">
        <f t="shared" si="0"/>
        <v>6</v>
      </c>
      <c r="B24" s="957" t="s">
        <v>1029</v>
      </c>
      <c r="C24" s="1293"/>
      <c r="D24" s="1292"/>
      <c r="E24" s="1292"/>
      <c r="F24" s="1292"/>
      <c r="G24" s="1292"/>
      <c r="H24" s="1292"/>
      <c r="I24" s="1292"/>
      <c r="J24" s="1292"/>
      <c r="K24" s="1292"/>
    </row>
    <row r="25" spans="1:11" ht="17.25" customHeight="1" x14ac:dyDescent="0.25">
      <c r="A25" s="1183">
        <f t="shared" si="0"/>
        <v>7</v>
      </c>
      <c r="B25" s="957" t="s">
        <v>1030</v>
      </c>
      <c r="C25" s="1293"/>
      <c r="D25" s="1292"/>
      <c r="E25" s="1292"/>
      <c r="F25" s="1292"/>
      <c r="G25" s="1292"/>
      <c r="H25" s="1292"/>
      <c r="I25" s="1292"/>
      <c r="J25" s="1292"/>
      <c r="K25" s="1292"/>
    </row>
    <row r="26" spans="1:11" ht="17.25" customHeight="1" x14ac:dyDescent="0.25">
      <c r="A26" s="1183">
        <f t="shared" si="0"/>
        <v>8</v>
      </c>
      <c r="B26" s="957" t="s">
        <v>1031</v>
      </c>
      <c r="C26" s="1293"/>
      <c r="D26" s="1292"/>
      <c r="E26" s="1292"/>
      <c r="F26" s="1292"/>
      <c r="G26" s="1292"/>
      <c r="H26" s="1292"/>
      <c r="I26" s="1292"/>
      <c r="J26" s="1292"/>
      <c r="K26" s="1292"/>
    </row>
    <row r="27" spans="1:11" ht="17.25" customHeight="1" x14ac:dyDescent="0.25">
      <c r="A27" s="1183">
        <f t="shared" si="0"/>
        <v>9</v>
      </c>
      <c r="B27" s="957" t="s">
        <v>1032</v>
      </c>
      <c r="C27" s="1293"/>
      <c r="D27" s="1292"/>
      <c r="E27" s="1292"/>
      <c r="F27" s="1292"/>
      <c r="G27" s="1292"/>
      <c r="H27" s="1292"/>
      <c r="I27" s="1292"/>
      <c r="J27" s="1292"/>
      <c r="K27" s="1292"/>
    </row>
    <row r="28" spans="1:11" ht="17.25" customHeight="1" x14ac:dyDescent="0.25">
      <c r="A28" s="1183">
        <f t="shared" si="0"/>
        <v>10</v>
      </c>
      <c r="B28" s="957" t="s">
        <v>1033</v>
      </c>
      <c r="C28" s="1293"/>
      <c r="D28" s="1292"/>
      <c r="E28" s="1292"/>
      <c r="F28" s="1292"/>
      <c r="G28" s="1292"/>
      <c r="H28" s="1292"/>
      <c r="I28" s="1292"/>
      <c r="J28" s="1292"/>
      <c r="K28" s="1292"/>
    </row>
    <row r="29" spans="1:11" ht="17.25" customHeight="1" x14ac:dyDescent="0.25">
      <c r="A29" s="1183">
        <f t="shared" si="0"/>
        <v>11</v>
      </c>
      <c r="B29" s="957" t="s">
        <v>1034</v>
      </c>
      <c r="C29" s="1293"/>
      <c r="D29" s="1292"/>
      <c r="E29" s="1292"/>
      <c r="F29" s="1292"/>
      <c r="G29" s="1292"/>
      <c r="H29" s="1292"/>
      <c r="I29" s="1292"/>
      <c r="J29" s="1292"/>
      <c r="K29" s="1292"/>
    </row>
    <row r="30" spans="1:11" ht="17.25" customHeight="1" x14ac:dyDescent="0.25">
      <c r="A30" s="1183">
        <f t="shared" si="0"/>
        <v>12</v>
      </c>
      <c r="B30" s="1995" t="s">
        <v>1035</v>
      </c>
      <c r="C30" s="1293"/>
      <c r="D30" s="1292"/>
      <c r="E30" s="1292"/>
      <c r="F30" s="1292"/>
      <c r="G30" s="1292"/>
      <c r="H30" s="1292"/>
      <c r="I30" s="1292"/>
      <c r="J30" s="1292"/>
      <c r="K30" s="1292"/>
    </row>
    <row r="31" spans="1:11" ht="17.25" customHeight="1" x14ac:dyDescent="0.25">
      <c r="A31" s="1183">
        <f t="shared" si="0"/>
        <v>13</v>
      </c>
      <c r="B31" s="1995" t="s">
        <v>1036</v>
      </c>
      <c r="C31" s="1293"/>
      <c r="D31" s="1292"/>
      <c r="E31" s="1292"/>
      <c r="F31" s="1292"/>
      <c r="G31" s="1292"/>
      <c r="H31" s="1292"/>
      <c r="I31" s="1292"/>
      <c r="J31" s="1292"/>
      <c r="K31" s="1292"/>
    </row>
    <row r="32" spans="1:11" ht="17.25" customHeight="1" x14ac:dyDescent="0.25">
      <c r="A32" s="1183">
        <f t="shared" si="0"/>
        <v>14</v>
      </c>
      <c r="B32" s="1995" t="s">
        <v>1037</v>
      </c>
      <c r="C32" s="1293"/>
      <c r="D32" s="1292"/>
      <c r="E32" s="1292"/>
      <c r="F32" s="1292"/>
      <c r="G32" s="1292"/>
      <c r="H32" s="1292"/>
      <c r="I32" s="1292"/>
      <c r="J32" s="1292"/>
      <c r="K32" s="1292"/>
    </row>
    <row r="33" spans="1:11" ht="17.25" customHeight="1" x14ac:dyDescent="0.25">
      <c r="A33" s="1183">
        <f t="shared" si="0"/>
        <v>15</v>
      </c>
      <c r="B33" s="1994" t="s">
        <v>1038</v>
      </c>
      <c r="C33" s="1293"/>
      <c r="D33" s="1292"/>
      <c r="E33" s="1292"/>
      <c r="F33" s="1292"/>
      <c r="G33" s="1292"/>
      <c r="H33" s="1292"/>
      <c r="I33" s="1292"/>
      <c r="J33" s="1292"/>
      <c r="K33" s="1292"/>
    </row>
    <row r="34" spans="1:11" ht="17.25" customHeight="1" x14ac:dyDescent="0.25">
      <c r="A34" s="1183">
        <f t="shared" si="0"/>
        <v>16</v>
      </c>
      <c r="B34" s="1994" t="s">
        <v>1039</v>
      </c>
      <c r="C34" s="1293"/>
      <c r="D34" s="1292"/>
      <c r="E34" s="1292"/>
      <c r="F34" s="1292"/>
      <c r="G34" s="1292"/>
      <c r="H34" s="1292"/>
      <c r="I34" s="1292"/>
      <c r="J34" s="1292"/>
      <c r="K34" s="1292"/>
    </row>
    <row r="35" spans="1:11" ht="17.25" customHeight="1" x14ac:dyDescent="0.25">
      <c r="A35" s="1183">
        <f t="shared" si="0"/>
        <v>17</v>
      </c>
      <c r="B35" s="1999" t="s">
        <v>1040</v>
      </c>
      <c r="C35" s="1293"/>
      <c r="D35" s="1292"/>
      <c r="E35" s="1292"/>
      <c r="F35" s="1292"/>
      <c r="G35" s="1292"/>
      <c r="H35" s="1292"/>
      <c r="I35" s="1292"/>
      <c r="J35" s="1292"/>
      <c r="K35" s="1292"/>
    </row>
    <row r="36" spans="1:11" ht="17.25" customHeight="1" x14ac:dyDescent="0.25">
      <c r="A36" s="1183">
        <f t="shared" si="0"/>
        <v>18</v>
      </c>
      <c r="B36" s="2000" t="s">
        <v>1041</v>
      </c>
      <c r="C36" s="1293"/>
      <c r="D36" s="1292"/>
      <c r="E36" s="1292"/>
      <c r="F36" s="1292"/>
      <c r="G36" s="1292"/>
      <c r="H36" s="1292"/>
      <c r="I36" s="1292"/>
      <c r="J36" s="1292"/>
      <c r="K36" s="1292"/>
    </row>
    <row r="37" spans="1:11" ht="17.25" customHeight="1" x14ac:dyDescent="0.25">
      <c r="A37" s="1183">
        <f t="shared" si="0"/>
        <v>19</v>
      </c>
      <c r="B37" s="1999" t="s">
        <v>1042</v>
      </c>
      <c r="C37" s="1293"/>
      <c r="D37" s="1292"/>
      <c r="E37" s="1292"/>
      <c r="F37" s="1292"/>
      <c r="G37" s="1292"/>
      <c r="H37" s="1292"/>
      <c r="I37" s="1292"/>
      <c r="J37" s="1292"/>
      <c r="K37" s="1292"/>
    </row>
    <row r="38" spans="1:11" ht="17.25" customHeight="1" x14ac:dyDescent="0.25">
      <c r="A38" s="1183">
        <f t="shared" si="0"/>
        <v>20</v>
      </c>
      <c r="B38" s="1181" t="s">
        <v>1043</v>
      </c>
      <c r="C38" s="1293"/>
      <c r="D38" s="1292"/>
      <c r="E38" s="1292"/>
      <c r="F38" s="1292"/>
      <c r="G38" s="1292"/>
      <c r="H38" s="1292"/>
      <c r="I38" s="1292"/>
      <c r="J38" s="1292"/>
      <c r="K38" s="1292"/>
    </row>
    <row r="39" spans="1:11" ht="17.25" customHeight="1" x14ac:dyDescent="0.25">
      <c r="A39" s="1183">
        <f t="shared" si="0"/>
        <v>21</v>
      </c>
      <c r="B39" s="957" t="s">
        <v>1044</v>
      </c>
      <c r="C39" s="1293"/>
      <c r="D39" s="1292"/>
      <c r="E39" s="1292"/>
      <c r="F39" s="1292"/>
      <c r="G39" s="1292"/>
      <c r="H39" s="1292"/>
      <c r="I39" s="1292"/>
      <c r="J39" s="1292"/>
      <c r="K39" s="1292"/>
    </row>
    <row r="40" spans="1:11" ht="17.25" customHeight="1" x14ac:dyDescent="0.25">
      <c r="A40" s="1183">
        <f t="shared" si="0"/>
        <v>22</v>
      </c>
      <c r="B40" s="957" t="s">
        <v>1045</v>
      </c>
      <c r="C40" s="1293"/>
      <c r="D40" s="1292"/>
      <c r="E40" s="1292"/>
      <c r="F40" s="1292"/>
      <c r="G40" s="1292"/>
      <c r="H40" s="1292"/>
      <c r="I40" s="1292"/>
      <c r="J40" s="1292"/>
      <c r="K40" s="1292"/>
    </row>
    <row r="41" spans="1:11" ht="17.25" customHeight="1" x14ac:dyDescent="0.25">
      <c r="A41" s="1183">
        <f t="shared" si="0"/>
        <v>23</v>
      </c>
      <c r="B41" s="1195" t="s">
        <v>1046</v>
      </c>
      <c r="C41" s="1293"/>
      <c r="D41" s="1292"/>
      <c r="E41" s="1292"/>
      <c r="F41" s="1292"/>
      <c r="G41" s="1292"/>
      <c r="H41" s="1292"/>
      <c r="I41" s="1292"/>
      <c r="J41" s="1292"/>
      <c r="K41" s="1292"/>
    </row>
    <row r="42" spans="1:11" ht="17.25" customHeight="1" x14ac:dyDescent="0.25">
      <c r="A42" s="1183">
        <f t="shared" si="0"/>
        <v>24</v>
      </c>
      <c r="B42" s="957" t="s">
        <v>1047</v>
      </c>
      <c r="C42" s="1293"/>
      <c r="D42" s="1292"/>
      <c r="E42" s="1292"/>
      <c r="F42" s="1292"/>
      <c r="G42" s="1292"/>
      <c r="H42" s="1292"/>
      <c r="I42" s="1292"/>
      <c r="J42" s="1292"/>
      <c r="K42" s="1292"/>
    </row>
    <row r="43" spans="1:11" ht="17.25" customHeight="1" x14ac:dyDescent="0.25">
      <c r="A43" s="1183">
        <f t="shared" si="0"/>
        <v>25</v>
      </c>
      <c r="B43" s="957" t="s">
        <v>1048</v>
      </c>
      <c r="C43" s="1293"/>
      <c r="D43" s="1292"/>
      <c r="E43" s="1292"/>
      <c r="F43" s="1292"/>
      <c r="G43" s="1292"/>
      <c r="H43" s="1292"/>
      <c r="I43" s="1292"/>
      <c r="J43" s="1292"/>
      <c r="K43" s="1292"/>
    </row>
    <row r="44" spans="1:11" ht="17.25" customHeight="1" x14ac:dyDescent="0.25">
      <c r="A44" s="1183">
        <f t="shared" si="0"/>
        <v>26</v>
      </c>
      <c r="B44" s="1199" t="s">
        <v>1049</v>
      </c>
      <c r="C44" s="1293"/>
      <c r="D44" s="1292"/>
      <c r="E44" s="1292"/>
      <c r="F44" s="1292"/>
      <c r="G44" s="1292"/>
      <c r="H44" s="1292"/>
      <c r="I44" s="1292"/>
      <c r="J44" s="1292"/>
      <c r="K44" s="1292"/>
    </row>
    <row r="45" spans="1:11" x14ac:dyDescent="0.25">
      <c r="A45" s="1183"/>
      <c r="B45" s="1496" t="s">
        <v>1050</v>
      </c>
      <c r="C45" s="1293"/>
      <c r="D45" s="1292"/>
      <c r="E45" s="1292"/>
      <c r="F45" s="1292"/>
      <c r="G45" s="1292"/>
      <c r="H45" s="1292"/>
      <c r="I45" s="1292"/>
      <c r="J45" s="1292"/>
      <c r="K45" s="1292"/>
    </row>
    <row r="46" spans="1:11" ht="16" customHeight="1" x14ac:dyDescent="0.25">
      <c r="A46" s="1183">
        <f>A44+1</f>
        <v>27</v>
      </c>
      <c r="B46" s="1197" t="s">
        <v>1051</v>
      </c>
      <c r="C46" s="1293"/>
      <c r="D46" s="1292"/>
      <c r="E46" s="1292"/>
      <c r="F46" s="1292"/>
      <c r="G46" s="1292"/>
      <c r="H46" s="1292"/>
      <c r="I46" s="1292"/>
      <c r="J46" s="1292"/>
      <c r="K46" s="1292"/>
    </row>
    <row r="47" spans="1:11" ht="16" customHeight="1" x14ac:dyDescent="0.25">
      <c r="A47" s="1183">
        <f t="shared" si="0"/>
        <v>28</v>
      </c>
      <c r="B47" s="1182" t="s">
        <v>1052</v>
      </c>
      <c r="C47" s="1293"/>
      <c r="D47" s="1292"/>
      <c r="E47" s="1292"/>
      <c r="F47" s="1292"/>
      <c r="G47" s="1292"/>
      <c r="H47" s="1292"/>
      <c r="I47" s="1292"/>
      <c r="J47" s="1292"/>
      <c r="K47" s="1292"/>
    </row>
    <row r="48" spans="1:11" ht="16" customHeight="1" x14ac:dyDescent="0.25">
      <c r="A48" s="1183">
        <f t="shared" si="0"/>
        <v>29</v>
      </c>
      <c r="B48" s="1184" t="s">
        <v>1053</v>
      </c>
      <c r="C48" s="1293"/>
      <c r="D48" s="1292"/>
      <c r="E48" s="1292"/>
      <c r="F48" s="1292"/>
      <c r="G48" s="1292"/>
      <c r="H48" s="1292"/>
      <c r="I48" s="1292"/>
      <c r="J48" s="1292"/>
      <c r="K48" s="1292"/>
    </row>
    <row r="49" spans="1:11" ht="16" customHeight="1" x14ac:dyDescent="0.25">
      <c r="A49" s="1183">
        <f t="shared" si="0"/>
        <v>30</v>
      </c>
      <c r="B49" s="1181" t="s">
        <v>1054</v>
      </c>
      <c r="C49" s="1293"/>
      <c r="D49" s="1292"/>
      <c r="E49" s="1292"/>
      <c r="F49" s="1292"/>
      <c r="G49" s="1292"/>
      <c r="H49" s="1292"/>
      <c r="I49" s="1292"/>
      <c r="J49" s="1292"/>
      <c r="K49" s="1292"/>
    </row>
    <row r="50" spans="1:11" ht="16" customHeight="1" x14ac:dyDescent="0.25">
      <c r="A50" s="1183">
        <f t="shared" si="0"/>
        <v>31</v>
      </c>
      <c r="B50" s="957" t="s">
        <v>1055</v>
      </c>
      <c r="C50" s="1293"/>
      <c r="D50" s="1292"/>
      <c r="E50" s="1292"/>
      <c r="F50" s="1292"/>
      <c r="G50" s="1292"/>
      <c r="H50" s="1292"/>
      <c r="I50" s="1292"/>
      <c r="J50" s="1292"/>
      <c r="K50" s="1292"/>
    </row>
    <row r="51" spans="1:11" ht="16" customHeight="1" x14ac:dyDescent="0.25">
      <c r="A51" s="1183">
        <f t="shared" si="0"/>
        <v>32</v>
      </c>
      <c r="B51" s="957" t="s">
        <v>1056</v>
      </c>
      <c r="C51" s="1293"/>
      <c r="D51" s="1292"/>
      <c r="E51" s="1292"/>
      <c r="F51" s="1292"/>
      <c r="G51" s="1292"/>
      <c r="H51" s="1292"/>
      <c r="I51" s="1292"/>
      <c r="J51" s="1292"/>
      <c r="K51" s="1292"/>
    </row>
    <row r="52" spans="1:11" ht="16" customHeight="1" x14ac:dyDescent="0.25">
      <c r="A52" s="1183">
        <f t="shared" si="0"/>
        <v>33</v>
      </c>
      <c r="B52" s="957" t="s">
        <v>1057</v>
      </c>
      <c r="C52" s="1293"/>
      <c r="D52" s="1292"/>
      <c r="E52" s="1292"/>
      <c r="F52" s="1292"/>
      <c r="G52" s="1292"/>
      <c r="H52" s="1292"/>
      <c r="I52" s="1292"/>
      <c r="J52" s="1292"/>
      <c r="K52" s="1292"/>
    </row>
    <row r="53" spans="1:11" ht="16" customHeight="1" x14ac:dyDescent="0.25">
      <c r="A53" s="1183">
        <f t="shared" si="0"/>
        <v>34</v>
      </c>
      <c r="B53" s="957" t="s">
        <v>1058</v>
      </c>
      <c r="C53" s="1293"/>
      <c r="D53" s="1292"/>
      <c r="E53" s="1292"/>
      <c r="F53" s="1292"/>
      <c r="G53" s="1292"/>
      <c r="H53" s="1292"/>
      <c r="I53" s="1292"/>
      <c r="J53" s="1292"/>
      <c r="K53" s="1292"/>
    </row>
    <row r="54" spans="1:11" ht="16" customHeight="1" x14ac:dyDescent="0.25">
      <c r="A54" s="1183">
        <f t="shared" si="0"/>
        <v>35</v>
      </c>
      <c r="B54" s="957" t="s">
        <v>1059</v>
      </c>
      <c r="C54" s="1293"/>
      <c r="D54" s="1292"/>
      <c r="E54" s="1292"/>
      <c r="F54" s="1292"/>
      <c r="G54" s="1292"/>
      <c r="H54" s="1292"/>
      <c r="I54" s="1292"/>
      <c r="J54" s="1292"/>
      <c r="K54" s="1292"/>
    </row>
    <row r="55" spans="1:11" x14ac:dyDescent="0.25">
      <c r="A55" s="1183">
        <f t="shared" si="0"/>
        <v>36</v>
      </c>
      <c r="B55" s="957" t="s">
        <v>1060</v>
      </c>
      <c r="C55" s="1293"/>
      <c r="D55" s="1292"/>
      <c r="E55" s="1292"/>
      <c r="F55" s="1292"/>
      <c r="G55" s="1292"/>
      <c r="H55" s="1292"/>
      <c r="I55" s="1292"/>
      <c r="J55" s="1292"/>
      <c r="K55" s="1292"/>
    </row>
    <row r="56" spans="1:11" ht="16" customHeight="1" x14ac:dyDescent="0.25">
      <c r="A56" s="1183">
        <f t="shared" si="0"/>
        <v>37</v>
      </c>
      <c r="B56" s="1995" t="s">
        <v>1061</v>
      </c>
      <c r="C56" s="1293"/>
      <c r="D56" s="1292"/>
      <c r="E56" s="1292"/>
      <c r="F56" s="1292"/>
      <c r="G56" s="1292"/>
      <c r="H56" s="1292"/>
      <c r="I56" s="1292"/>
      <c r="J56" s="1292"/>
      <c r="K56" s="1292"/>
    </row>
    <row r="57" spans="1:11" ht="16" customHeight="1" x14ac:dyDescent="0.25">
      <c r="A57" s="1183">
        <f t="shared" si="0"/>
        <v>38</v>
      </c>
      <c r="B57" s="957" t="s">
        <v>1062</v>
      </c>
      <c r="C57" s="1293"/>
      <c r="D57" s="1292"/>
      <c r="E57" s="1292"/>
      <c r="F57" s="1292"/>
      <c r="G57" s="1292"/>
      <c r="H57" s="1292"/>
      <c r="I57" s="1292"/>
      <c r="J57" s="1292"/>
      <c r="K57" s="1292"/>
    </row>
    <row r="58" spans="1:11" ht="16" customHeight="1" x14ac:dyDescent="0.25">
      <c r="A58" s="1183">
        <f t="shared" si="0"/>
        <v>39</v>
      </c>
      <c r="B58" s="1199" t="s">
        <v>1063</v>
      </c>
      <c r="C58" s="1293"/>
      <c r="D58" s="1292"/>
      <c r="E58" s="1292"/>
      <c r="F58" s="1292"/>
      <c r="G58" s="1292"/>
      <c r="H58" s="1292"/>
      <c r="I58" s="1292"/>
      <c r="J58" s="1292"/>
      <c r="K58" s="1292"/>
    </row>
    <row r="59" spans="1:11" ht="16" customHeight="1" x14ac:dyDescent="0.25">
      <c r="A59" s="1183"/>
      <c r="B59" s="1511" t="s">
        <v>1064</v>
      </c>
      <c r="C59" s="1293"/>
      <c r="D59" s="1292"/>
      <c r="E59" s="1292"/>
      <c r="F59" s="1292"/>
      <c r="G59" s="1292"/>
      <c r="H59" s="1292"/>
      <c r="I59" s="1292"/>
      <c r="J59" s="1292"/>
      <c r="K59" s="1292"/>
    </row>
    <row r="60" spans="1:11" s="259" customFormat="1" ht="16" customHeight="1" x14ac:dyDescent="0.25">
      <c r="A60" s="1513">
        <f>A58+1</f>
        <v>40</v>
      </c>
      <c r="B60" s="1514" t="s">
        <v>1065</v>
      </c>
      <c r="C60" s="1349"/>
      <c r="D60" s="1350"/>
      <c r="E60" s="1350"/>
      <c r="F60" s="1350"/>
      <c r="G60" s="1350"/>
      <c r="H60" s="1350"/>
      <c r="I60" s="1350"/>
      <c r="J60" s="1350"/>
      <c r="K60" s="1350"/>
    </row>
    <row r="61" spans="1:11" s="259" customFormat="1" ht="16" customHeight="1" x14ac:dyDescent="0.25">
      <c r="A61" s="1513">
        <f t="shared" si="0"/>
        <v>41</v>
      </c>
      <c r="B61" s="1514" t="s">
        <v>1066</v>
      </c>
      <c r="C61" s="1349"/>
      <c r="D61" s="1350"/>
      <c r="E61" s="1350"/>
      <c r="F61" s="1350"/>
      <c r="G61" s="1350"/>
      <c r="H61" s="1350"/>
      <c r="I61" s="1350"/>
      <c r="J61" s="1350"/>
      <c r="K61" s="1350"/>
    </row>
    <row r="62" spans="1:11" s="259" customFormat="1" ht="16" customHeight="1" x14ac:dyDescent="0.25">
      <c r="A62" s="1513">
        <f t="shared" si="0"/>
        <v>42</v>
      </c>
      <c r="B62" s="1514" t="s">
        <v>1067</v>
      </c>
      <c r="C62" s="1349"/>
      <c r="D62" s="1350"/>
      <c r="E62" s="1350"/>
      <c r="F62" s="1350"/>
      <c r="G62" s="1350"/>
      <c r="H62" s="1350"/>
      <c r="I62" s="1350"/>
      <c r="J62" s="1350"/>
      <c r="K62" s="1350"/>
    </row>
    <row r="63" spans="1:11" s="259" customFormat="1" ht="16" customHeight="1" x14ac:dyDescent="0.25">
      <c r="A63" s="1513">
        <f t="shared" si="0"/>
        <v>43</v>
      </c>
      <c r="B63" s="1514" t="s">
        <v>1068</v>
      </c>
      <c r="C63" s="1349"/>
      <c r="D63" s="1350"/>
      <c r="E63" s="1350"/>
      <c r="F63" s="1350"/>
      <c r="G63" s="1350"/>
      <c r="H63" s="1350"/>
      <c r="I63" s="1350"/>
      <c r="J63" s="1350"/>
      <c r="K63" s="1350"/>
    </row>
    <row r="64" spans="1:11" s="259" customFormat="1" ht="16" customHeight="1" x14ac:dyDescent="0.25">
      <c r="A64" s="1513">
        <f t="shared" si="0"/>
        <v>44</v>
      </c>
      <c r="B64" s="1348" t="s">
        <v>1069</v>
      </c>
      <c r="C64" s="1349"/>
      <c r="D64" s="1350"/>
      <c r="E64" s="1350"/>
      <c r="F64" s="1350"/>
      <c r="G64" s="1350"/>
      <c r="H64" s="1350"/>
      <c r="I64" s="1350"/>
      <c r="J64" s="1350"/>
      <c r="K64" s="1350"/>
    </row>
    <row r="65" spans="1:11" s="259" customFormat="1" ht="16" customHeight="1" x14ac:dyDescent="0.25">
      <c r="A65" s="1513">
        <f t="shared" si="0"/>
        <v>45</v>
      </c>
      <c r="B65" s="1517" t="s">
        <v>1070</v>
      </c>
      <c r="C65" s="1349"/>
      <c r="D65" s="1350"/>
      <c r="E65" s="1350"/>
      <c r="F65" s="1350"/>
      <c r="G65" s="1350"/>
      <c r="H65" s="1350"/>
      <c r="I65" s="1350"/>
      <c r="J65" s="1350"/>
      <c r="K65" s="1350"/>
    </row>
    <row r="66" spans="1:11" ht="16" customHeight="1" x14ac:dyDescent="0.25">
      <c r="A66" s="1513">
        <f t="shared" si="0"/>
        <v>46</v>
      </c>
      <c r="B66" s="1182" t="s">
        <v>1071</v>
      </c>
      <c r="C66" s="1293"/>
      <c r="D66" s="1292"/>
      <c r="E66" s="1292"/>
      <c r="F66" s="1292"/>
      <c r="G66" s="1292"/>
      <c r="H66" s="1292"/>
      <c r="I66" s="1292"/>
      <c r="J66" s="1292"/>
      <c r="K66" s="1292"/>
    </row>
    <row r="67" spans="1:11" x14ac:dyDescent="0.25">
      <c r="A67" s="1513">
        <f t="shared" si="0"/>
        <v>47</v>
      </c>
      <c r="B67" s="1997" t="s">
        <v>1072</v>
      </c>
      <c r="C67" s="1293"/>
      <c r="D67" s="1292"/>
      <c r="E67" s="1292"/>
      <c r="F67" s="1292"/>
      <c r="G67" s="1292"/>
      <c r="H67" s="1292"/>
      <c r="I67" s="1292"/>
      <c r="J67" s="1292"/>
      <c r="K67" s="1292"/>
    </row>
    <row r="68" spans="1:11" x14ac:dyDescent="0.25">
      <c r="A68" s="1513">
        <f t="shared" si="0"/>
        <v>48</v>
      </c>
      <c r="B68" s="1997" t="s">
        <v>1073</v>
      </c>
      <c r="C68" s="1293"/>
      <c r="D68" s="1292"/>
      <c r="E68" s="1292"/>
      <c r="F68" s="1292"/>
      <c r="G68" s="1292"/>
      <c r="H68" s="1292"/>
      <c r="I68" s="1292"/>
      <c r="J68" s="1292"/>
      <c r="K68" s="1292"/>
    </row>
    <row r="69" spans="1:11" x14ac:dyDescent="0.25">
      <c r="A69" s="1513">
        <f t="shared" si="0"/>
        <v>49</v>
      </c>
      <c r="B69" s="1997" t="s">
        <v>1074</v>
      </c>
      <c r="C69" s="1293"/>
      <c r="D69" s="1292"/>
      <c r="E69" s="1292"/>
      <c r="F69" s="1292"/>
      <c r="G69" s="1292"/>
      <c r="H69" s="1292"/>
      <c r="I69" s="1292"/>
      <c r="J69" s="1292"/>
      <c r="K69" s="1292"/>
    </row>
    <row r="70" spans="1:11" x14ac:dyDescent="0.25">
      <c r="A70" s="1513">
        <f t="shared" si="0"/>
        <v>50</v>
      </c>
      <c r="B70" s="1997" t="s">
        <v>1075</v>
      </c>
      <c r="C70" s="1293"/>
      <c r="D70" s="1292"/>
      <c r="E70" s="1292"/>
      <c r="F70" s="1292"/>
      <c r="G70" s="1292"/>
      <c r="H70" s="1292"/>
      <c r="I70" s="1292"/>
      <c r="J70" s="1292"/>
      <c r="K70" s="1292"/>
    </row>
    <row r="71" spans="1:11" ht="16" customHeight="1" x14ac:dyDescent="0.25">
      <c r="A71" s="1513">
        <f t="shared" si="0"/>
        <v>51</v>
      </c>
      <c r="B71" s="1196" t="s">
        <v>1076</v>
      </c>
      <c r="C71" s="1293"/>
      <c r="D71" s="1292"/>
      <c r="E71" s="1292"/>
      <c r="F71" s="1292"/>
      <c r="G71" s="1292"/>
      <c r="H71" s="1292"/>
      <c r="I71" s="1292"/>
      <c r="J71" s="1292"/>
      <c r="K71" s="1292"/>
    </row>
    <row r="72" spans="1:11" x14ac:dyDescent="0.25">
      <c r="A72" s="1183"/>
      <c r="B72" s="1511" t="s">
        <v>1077</v>
      </c>
      <c r="C72" s="1293"/>
      <c r="D72" s="1292"/>
      <c r="E72" s="1292"/>
      <c r="F72" s="1292"/>
      <c r="G72" s="1292"/>
      <c r="H72" s="1292"/>
      <c r="I72" s="1292"/>
      <c r="J72" s="1292"/>
      <c r="K72" s="1292"/>
    </row>
    <row r="73" spans="1:11" x14ac:dyDescent="0.25">
      <c r="A73" s="1183">
        <f>A71+1</f>
        <v>52</v>
      </c>
      <c r="B73" s="1181" t="s">
        <v>1078</v>
      </c>
      <c r="C73" s="1293"/>
      <c r="D73" s="1292"/>
      <c r="E73" s="1292"/>
      <c r="F73" s="1292"/>
      <c r="G73" s="1292"/>
      <c r="H73" s="1292"/>
      <c r="I73" s="1292"/>
      <c r="J73" s="1292"/>
      <c r="K73" s="1292"/>
    </row>
    <row r="74" spans="1:11" x14ac:dyDescent="0.25">
      <c r="A74" s="1183">
        <f t="shared" si="0"/>
        <v>53</v>
      </c>
      <c r="B74" s="1182" t="s">
        <v>1079</v>
      </c>
      <c r="C74" s="1293"/>
      <c r="D74" s="1292"/>
      <c r="E74" s="1292"/>
      <c r="F74" s="1292"/>
      <c r="G74" s="1292"/>
      <c r="H74" s="1292"/>
      <c r="I74" s="1292"/>
      <c r="J74" s="1292"/>
      <c r="K74" s="1292"/>
    </row>
    <row r="75" spans="1:11" x14ac:dyDescent="0.25">
      <c r="A75" s="1183">
        <f t="shared" si="0"/>
        <v>54</v>
      </c>
      <c r="B75" s="1184" t="s">
        <v>1080</v>
      </c>
      <c r="C75" s="1293"/>
      <c r="D75" s="1292"/>
      <c r="E75" s="1292"/>
      <c r="F75" s="1292"/>
      <c r="G75" s="1292"/>
      <c r="H75" s="1292"/>
      <c r="I75" s="1292"/>
      <c r="J75" s="1292"/>
      <c r="K75" s="1292"/>
    </row>
    <row r="76" spans="1:11" x14ac:dyDescent="0.25">
      <c r="A76" s="1183">
        <f t="shared" si="0"/>
        <v>55</v>
      </c>
      <c r="B76" s="1184" t="s">
        <v>1081</v>
      </c>
      <c r="C76" s="1293"/>
      <c r="D76" s="1292"/>
      <c r="E76" s="1292"/>
      <c r="F76" s="1292"/>
      <c r="G76" s="1292"/>
      <c r="H76" s="1292"/>
      <c r="I76" s="1292"/>
      <c r="J76" s="1292"/>
      <c r="K76" s="1292"/>
    </row>
    <row r="77" spans="1:11" x14ac:dyDescent="0.25">
      <c r="A77" s="1183">
        <f t="shared" si="0"/>
        <v>56</v>
      </c>
      <c r="B77" s="1181" t="s">
        <v>1082</v>
      </c>
      <c r="C77" s="1293"/>
      <c r="D77" s="1292"/>
      <c r="E77" s="1292"/>
      <c r="F77" s="1292"/>
      <c r="G77" s="1292"/>
      <c r="H77" s="1292"/>
      <c r="I77" s="1292"/>
      <c r="J77" s="1292"/>
      <c r="K77" s="1292"/>
    </row>
    <row r="78" spans="1:11" x14ac:dyDescent="0.25">
      <c r="A78" s="1183">
        <f t="shared" si="0"/>
        <v>57</v>
      </c>
      <c r="B78" s="957" t="s">
        <v>1083</v>
      </c>
      <c r="C78" s="1293"/>
      <c r="D78" s="1292"/>
      <c r="E78" s="1292"/>
      <c r="F78" s="1292"/>
      <c r="G78" s="1292"/>
      <c r="H78" s="1292"/>
      <c r="I78" s="1292"/>
      <c r="J78" s="1292"/>
      <c r="K78" s="1292"/>
    </row>
    <row r="79" spans="1:11" s="259" customFormat="1" x14ac:dyDescent="0.25">
      <c r="A79" s="1183">
        <f t="shared" si="0"/>
        <v>58</v>
      </c>
      <c r="B79" s="957" t="s">
        <v>1084</v>
      </c>
      <c r="C79" s="1349"/>
      <c r="D79" s="1350"/>
      <c r="E79" s="1350"/>
      <c r="F79" s="1350"/>
      <c r="G79" s="1350"/>
      <c r="H79" s="1350"/>
      <c r="I79" s="1350"/>
      <c r="J79" s="1350"/>
      <c r="K79" s="1350"/>
    </row>
    <row r="80" spans="1:11" x14ac:dyDescent="0.25">
      <c r="A80" s="1183">
        <f t="shared" si="0"/>
        <v>59</v>
      </c>
      <c r="B80" s="957" t="s">
        <v>1085</v>
      </c>
      <c r="C80" s="1293"/>
      <c r="D80" s="1292"/>
      <c r="E80" s="1292"/>
      <c r="F80" s="1292"/>
      <c r="G80" s="1292"/>
      <c r="H80" s="1292"/>
      <c r="I80" s="1292"/>
      <c r="J80" s="1292"/>
      <c r="K80" s="1292"/>
    </row>
    <row r="81" spans="1:11" x14ac:dyDescent="0.25">
      <c r="A81" s="1183">
        <f t="shared" si="0"/>
        <v>60</v>
      </c>
      <c r="B81" s="1199" t="s">
        <v>1086</v>
      </c>
      <c r="C81" s="1293"/>
      <c r="D81" s="1292"/>
      <c r="E81" s="1292"/>
      <c r="F81" s="1292"/>
      <c r="G81" s="1292"/>
      <c r="H81" s="1292"/>
      <c r="I81" s="1292"/>
      <c r="J81" s="1292"/>
      <c r="K81" s="1292"/>
    </row>
    <row r="82" spans="1:11" x14ac:dyDescent="0.25">
      <c r="A82" s="1183"/>
      <c r="B82" s="1511" t="s">
        <v>1087</v>
      </c>
      <c r="C82" s="1293"/>
      <c r="D82" s="1292"/>
      <c r="E82" s="1292"/>
      <c r="F82" s="1292"/>
      <c r="G82" s="1292"/>
      <c r="H82" s="1292"/>
      <c r="I82" s="1292"/>
      <c r="J82" s="1292"/>
      <c r="K82" s="1292"/>
    </row>
    <row r="83" spans="1:11" x14ac:dyDescent="0.25">
      <c r="A83" s="1183">
        <f>A81+1</f>
        <v>61</v>
      </c>
      <c r="B83" s="966" t="s">
        <v>1088</v>
      </c>
      <c r="C83" s="1293"/>
      <c r="D83" s="1292"/>
      <c r="E83" s="1292"/>
      <c r="F83" s="1292"/>
      <c r="G83" s="1292"/>
      <c r="H83" s="1292"/>
      <c r="I83" s="1292"/>
      <c r="J83" s="1292"/>
      <c r="K83" s="1292"/>
    </row>
    <row r="84" spans="1:11" x14ac:dyDescent="0.25">
      <c r="A84" s="1183">
        <f t="shared" si="0"/>
        <v>62</v>
      </c>
      <c r="B84" s="880" t="s">
        <v>1089</v>
      </c>
      <c r="C84" s="1293"/>
      <c r="D84" s="1292"/>
      <c r="E84" s="1292"/>
      <c r="F84" s="1292"/>
      <c r="G84" s="1292"/>
      <c r="H84" s="1292"/>
      <c r="I84" s="1292"/>
      <c r="J84" s="1292"/>
      <c r="K84" s="1292"/>
    </row>
    <row r="85" spans="1:11" x14ac:dyDescent="0.25">
      <c r="A85" s="1183">
        <f t="shared" si="0"/>
        <v>63</v>
      </c>
      <c r="B85" s="1184" t="s">
        <v>1090</v>
      </c>
      <c r="C85" s="1293"/>
      <c r="D85" s="1292"/>
      <c r="E85" s="1292"/>
      <c r="F85" s="1292"/>
      <c r="G85" s="1292"/>
      <c r="H85" s="1292"/>
      <c r="I85" s="1292"/>
      <c r="J85" s="1292"/>
      <c r="K85" s="1292"/>
    </row>
    <row r="86" spans="1:11" x14ac:dyDescent="0.25">
      <c r="A86" s="1183">
        <f t="shared" si="0"/>
        <v>64</v>
      </c>
      <c r="B86" s="1181" t="s">
        <v>1091</v>
      </c>
      <c r="C86" s="1293"/>
      <c r="D86" s="1292"/>
      <c r="E86" s="1292"/>
      <c r="F86" s="1292"/>
      <c r="G86" s="1292"/>
      <c r="H86" s="1292"/>
      <c r="I86" s="1292"/>
      <c r="J86" s="1292"/>
      <c r="K86" s="1292"/>
    </row>
    <row r="87" spans="1:11" x14ac:dyDescent="0.25">
      <c r="A87" s="1183">
        <f t="shared" si="0"/>
        <v>65</v>
      </c>
      <c r="B87" s="1181" t="s">
        <v>1092</v>
      </c>
      <c r="C87" s="1293"/>
      <c r="D87" s="1292"/>
      <c r="E87" s="1292"/>
      <c r="F87" s="1292"/>
      <c r="G87" s="1292"/>
      <c r="H87" s="1292"/>
      <c r="I87" s="1292"/>
      <c r="J87" s="1292"/>
      <c r="K87" s="1292"/>
    </row>
    <row r="88" spans="1:11" x14ac:dyDescent="0.25">
      <c r="A88" s="1183">
        <f t="shared" si="0"/>
        <v>66</v>
      </c>
      <c r="B88" s="957" t="s">
        <v>1093</v>
      </c>
      <c r="C88" s="1293"/>
      <c r="D88" s="1292"/>
      <c r="E88" s="1292"/>
      <c r="F88" s="1292"/>
      <c r="G88" s="1292"/>
      <c r="H88" s="1292"/>
      <c r="I88" s="1292"/>
      <c r="J88" s="1292"/>
      <c r="K88" s="1292"/>
    </row>
    <row r="89" spans="1:11" x14ac:dyDescent="0.25">
      <c r="A89" s="1183">
        <f t="shared" si="0"/>
        <v>67</v>
      </c>
      <c r="B89" s="1182" t="s">
        <v>1094</v>
      </c>
      <c r="C89" s="1293"/>
      <c r="D89" s="1292"/>
      <c r="E89" s="1292"/>
      <c r="F89" s="1292"/>
      <c r="G89" s="1292"/>
      <c r="H89" s="1292"/>
      <c r="I89" s="1292"/>
      <c r="J89" s="1292"/>
      <c r="K89" s="1292"/>
    </row>
    <row r="90" spans="1:11" x14ac:dyDescent="0.25">
      <c r="A90" s="1183">
        <f t="shared" si="0"/>
        <v>68</v>
      </c>
      <c r="B90" s="1199" t="s">
        <v>1095</v>
      </c>
      <c r="C90" s="1293"/>
      <c r="D90" s="1292"/>
      <c r="E90" s="1292"/>
      <c r="F90" s="1292"/>
      <c r="G90" s="1292"/>
      <c r="H90" s="1292"/>
      <c r="I90" s="1292"/>
      <c r="J90" s="1292"/>
      <c r="K90" s="1292"/>
    </row>
    <row r="91" spans="1:11" x14ac:dyDescent="0.25">
      <c r="A91" s="1183"/>
      <c r="B91" s="1511" t="s">
        <v>1096</v>
      </c>
      <c r="C91" s="1293"/>
      <c r="D91" s="1292"/>
      <c r="E91" s="1292"/>
      <c r="F91" s="1292"/>
      <c r="G91" s="1292"/>
      <c r="H91" s="1292"/>
      <c r="I91" s="1292"/>
      <c r="J91" s="1292"/>
      <c r="K91" s="1292"/>
    </row>
    <row r="92" spans="1:11" x14ac:dyDescent="0.25">
      <c r="A92" s="1183">
        <f>A90+1</f>
        <v>69</v>
      </c>
      <c r="B92" s="966" t="s">
        <v>1097</v>
      </c>
      <c r="C92" s="1293"/>
      <c r="D92" s="1292"/>
      <c r="E92" s="1292"/>
      <c r="F92" s="1292"/>
      <c r="G92" s="1292"/>
      <c r="H92" s="1292"/>
      <c r="I92" s="1292"/>
      <c r="J92" s="1292"/>
      <c r="K92" s="1292"/>
    </row>
    <row r="93" spans="1:11" x14ac:dyDescent="0.25">
      <c r="A93" s="1183">
        <f t="shared" si="0"/>
        <v>70</v>
      </c>
      <c r="B93" s="1184" t="s">
        <v>1098</v>
      </c>
      <c r="C93" s="1293"/>
      <c r="D93" s="1292"/>
      <c r="E93" s="1292"/>
      <c r="F93" s="1292"/>
      <c r="G93" s="1292"/>
      <c r="H93" s="1292"/>
      <c r="I93" s="1292"/>
      <c r="J93" s="1292"/>
      <c r="K93" s="1292"/>
    </row>
    <row r="94" spans="1:11" x14ac:dyDescent="0.25">
      <c r="A94" s="1183">
        <f t="shared" si="0"/>
        <v>71</v>
      </c>
      <c r="B94" s="1181" t="s">
        <v>1099</v>
      </c>
      <c r="C94" s="1293"/>
      <c r="D94" s="1292"/>
      <c r="E94" s="1292"/>
      <c r="F94" s="1292"/>
      <c r="G94" s="1292"/>
      <c r="H94" s="1292"/>
      <c r="I94" s="1292"/>
      <c r="J94" s="1292"/>
      <c r="K94" s="1292"/>
    </row>
    <row r="95" spans="1:11" x14ac:dyDescent="0.25">
      <c r="A95" s="1183">
        <f t="shared" si="0"/>
        <v>72</v>
      </c>
      <c r="B95" s="957" t="s">
        <v>1100</v>
      </c>
      <c r="C95" s="1293"/>
      <c r="D95" s="1292"/>
      <c r="E95" s="1292"/>
      <c r="F95" s="1292"/>
      <c r="G95" s="1292"/>
      <c r="H95" s="1292"/>
      <c r="I95" s="1292"/>
      <c r="J95" s="1292"/>
      <c r="K95" s="1292"/>
    </row>
    <row r="96" spans="1:11" x14ac:dyDescent="0.25">
      <c r="A96" s="1183">
        <f t="shared" si="0"/>
        <v>73</v>
      </c>
      <c r="B96" s="1199" t="s">
        <v>1101</v>
      </c>
      <c r="C96" s="1293"/>
      <c r="D96" s="1292"/>
      <c r="E96" s="1292"/>
      <c r="F96" s="1292"/>
      <c r="G96" s="1292"/>
      <c r="H96" s="1292"/>
      <c r="I96" s="1292"/>
      <c r="J96" s="1292"/>
      <c r="K96" s="1292"/>
    </row>
    <row r="97" spans="1:11" x14ac:dyDescent="0.25">
      <c r="A97" s="1183">
        <f t="shared" si="0"/>
        <v>74</v>
      </c>
      <c r="B97" s="1181" t="s">
        <v>1102</v>
      </c>
      <c r="C97" s="1293"/>
      <c r="D97" s="1292"/>
      <c r="E97" s="1292"/>
      <c r="F97" s="1292"/>
      <c r="G97" s="1292"/>
      <c r="H97" s="1292"/>
      <c r="I97" s="1292"/>
      <c r="J97" s="1292"/>
      <c r="K97" s="1292"/>
    </row>
    <row r="98" spans="1:11" x14ac:dyDescent="0.25">
      <c r="A98" s="1183">
        <f t="shared" si="0"/>
        <v>75</v>
      </c>
      <c r="B98" s="957" t="s">
        <v>1103</v>
      </c>
      <c r="C98" s="1293"/>
      <c r="D98" s="1292"/>
      <c r="E98" s="1292"/>
      <c r="F98" s="1292"/>
      <c r="G98" s="1292"/>
      <c r="H98" s="1292"/>
      <c r="I98" s="1292"/>
      <c r="J98" s="1292"/>
      <c r="K98" s="1292"/>
    </row>
    <row r="99" spans="1:11" x14ac:dyDescent="0.25">
      <c r="A99" s="1183">
        <f t="shared" si="0"/>
        <v>76</v>
      </c>
      <c r="B99" s="957" t="s">
        <v>1104</v>
      </c>
      <c r="C99" s="1293"/>
      <c r="D99" s="1292"/>
      <c r="E99" s="1292"/>
      <c r="F99" s="1292"/>
      <c r="G99" s="1292"/>
      <c r="H99" s="1292"/>
      <c r="I99" s="1292"/>
      <c r="J99" s="1292"/>
      <c r="K99" s="1292"/>
    </row>
    <row r="100" spans="1:11" x14ac:dyDescent="0.25">
      <c r="A100" s="1183">
        <f t="shared" ref="A100:A105" si="1">A99+1</f>
        <v>77</v>
      </c>
      <c r="B100" s="957" t="s">
        <v>1105</v>
      </c>
      <c r="C100" s="1293"/>
      <c r="D100" s="1292"/>
      <c r="E100" s="1292"/>
      <c r="F100" s="1292"/>
      <c r="G100" s="1292"/>
      <c r="H100" s="1292"/>
      <c r="I100" s="1292"/>
      <c r="J100" s="1292"/>
      <c r="K100" s="1292"/>
    </row>
    <row r="101" spans="1:11" ht="15.75" customHeight="1" x14ac:dyDescent="0.25">
      <c r="A101" s="1183">
        <f t="shared" si="1"/>
        <v>78</v>
      </c>
      <c r="B101" s="957" t="s">
        <v>1106</v>
      </c>
      <c r="C101" s="1293"/>
      <c r="D101" s="1292"/>
      <c r="E101" s="1292"/>
      <c r="F101" s="1292"/>
      <c r="G101" s="1292"/>
      <c r="H101" s="1292"/>
      <c r="I101" s="1292"/>
      <c r="J101" s="1292"/>
      <c r="K101" s="1292"/>
    </row>
    <row r="102" spans="1:11" ht="15.75" customHeight="1" x14ac:dyDescent="0.25">
      <c r="A102" s="1183">
        <f t="shared" si="1"/>
        <v>79</v>
      </c>
      <c r="B102" s="957" t="s">
        <v>1107</v>
      </c>
      <c r="C102" s="1293"/>
      <c r="D102" s="1292"/>
      <c r="E102" s="1292"/>
      <c r="F102" s="1292"/>
      <c r="G102" s="1292"/>
      <c r="H102" s="1292"/>
      <c r="I102" s="1292"/>
      <c r="J102" s="1292"/>
      <c r="K102" s="1292"/>
    </row>
    <row r="103" spans="1:11" ht="15.75" customHeight="1" x14ac:dyDescent="0.25">
      <c r="A103" s="1183">
        <f t="shared" si="1"/>
        <v>80</v>
      </c>
      <c r="B103" s="1182" t="s">
        <v>1108</v>
      </c>
      <c r="C103" s="1293"/>
      <c r="D103" s="1292"/>
      <c r="E103" s="1292"/>
      <c r="F103" s="1292"/>
      <c r="G103" s="1292"/>
      <c r="H103" s="1292"/>
      <c r="I103" s="1292"/>
      <c r="J103" s="1292"/>
      <c r="K103" s="1292"/>
    </row>
    <row r="104" spans="1:11" ht="15.75" customHeight="1" x14ac:dyDescent="0.25">
      <c r="A104" s="1183">
        <f t="shared" si="1"/>
        <v>81</v>
      </c>
      <c r="B104" s="2092" t="s">
        <v>1109</v>
      </c>
      <c r="C104" s="1293"/>
      <c r="D104" s="1292"/>
      <c r="E104" s="1292"/>
      <c r="F104" s="1292"/>
      <c r="G104" s="1292"/>
      <c r="H104" s="1292"/>
      <c r="I104" s="1292"/>
      <c r="J104" s="1292"/>
      <c r="K104" s="1292"/>
    </row>
    <row r="105" spans="1:11" ht="15.75" customHeight="1" x14ac:dyDescent="0.25">
      <c r="A105" s="1183">
        <f t="shared" si="1"/>
        <v>82</v>
      </c>
      <c r="B105" s="1196" t="s">
        <v>1110</v>
      </c>
      <c r="C105" s="1293"/>
      <c r="D105" s="1292"/>
      <c r="E105" s="1292"/>
      <c r="F105" s="1292"/>
      <c r="G105" s="1292"/>
      <c r="H105" s="1292"/>
      <c r="I105" s="1292"/>
      <c r="J105" s="1292"/>
      <c r="K105" s="1292"/>
    </row>
    <row r="106" spans="1:11" s="849" customFormat="1" ht="15.75" customHeight="1" x14ac:dyDescent="0.3">
      <c r="A106" s="1497"/>
      <c r="B106" s="1511" t="s">
        <v>1111</v>
      </c>
      <c r="C106" s="1498"/>
      <c r="D106" s="1499"/>
      <c r="E106" s="1499"/>
      <c r="F106" s="1499"/>
      <c r="G106" s="1499"/>
      <c r="H106" s="1499"/>
      <c r="I106" s="1499"/>
      <c r="J106" s="1499"/>
      <c r="K106" s="1499"/>
    </row>
    <row r="107" spans="1:11" ht="15.75" customHeight="1" x14ac:dyDescent="0.25">
      <c r="A107" s="1183">
        <f>A105+1</f>
        <v>83</v>
      </c>
      <c r="B107" s="1196" t="s">
        <v>1112</v>
      </c>
      <c r="C107" s="1293"/>
      <c r="D107" s="1292"/>
      <c r="E107" s="1292"/>
      <c r="F107" s="1292"/>
      <c r="G107" s="1292"/>
      <c r="H107" s="1292"/>
      <c r="I107" s="1292"/>
      <c r="J107" s="1292"/>
      <c r="K107" s="1292"/>
    </row>
    <row r="108" spans="1:11" ht="15.75" customHeight="1" x14ac:dyDescent="0.25">
      <c r="A108" s="1183">
        <f>A107+1</f>
        <v>84</v>
      </c>
      <c r="B108" s="966" t="s">
        <v>1113</v>
      </c>
      <c r="C108" s="1293"/>
      <c r="D108" s="1292"/>
      <c r="E108" s="1292"/>
      <c r="F108" s="1292"/>
      <c r="G108" s="1292"/>
      <c r="H108" s="1292"/>
      <c r="I108" s="1292"/>
      <c r="J108" s="1292"/>
      <c r="K108" s="1292"/>
    </row>
    <row r="109" spans="1:11" ht="15.75" customHeight="1" x14ac:dyDescent="0.25">
      <c r="A109" s="1183">
        <f t="shared" ref="A109:A127" si="2">A108+1</f>
        <v>85</v>
      </c>
      <c r="B109" s="957" t="s">
        <v>1114</v>
      </c>
      <c r="C109" s="1293"/>
      <c r="D109" s="1292"/>
      <c r="E109" s="1292"/>
      <c r="F109" s="1292"/>
      <c r="G109" s="1292"/>
      <c r="H109" s="1292"/>
      <c r="I109" s="1292"/>
      <c r="J109" s="1292"/>
      <c r="K109" s="1292"/>
    </row>
    <row r="110" spans="1:11" ht="15.75" customHeight="1" x14ac:dyDescent="0.25">
      <c r="A110" s="1183">
        <f t="shared" si="2"/>
        <v>86</v>
      </c>
      <c r="B110" s="1182" t="s">
        <v>1115</v>
      </c>
      <c r="C110" s="1293"/>
      <c r="D110" s="1292"/>
      <c r="E110" s="1292"/>
      <c r="F110" s="1292"/>
      <c r="G110" s="1292"/>
      <c r="H110" s="1292"/>
      <c r="I110" s="1292"/>
      <c r="J110" s="1292"/>
      <c r="K110" s="1292"/>
    </row>
    <row r="111" spans="1:11" ht="15.75" customHeight="1" x14ac:dyDescent="0.25">
      <c r="A111" s="1183">
        <f t="shared" si="2"/>
        <v>87</v>
      </c>
      <c r="B111" s="1184" t="s">
        <v>1116</v>
      </c>
      <c r="C111" s="1293"/>
      <c r="D111" s="1292"/>
      <c r="E111" s="1292"/>
      <c r="F111" s="1292"/>
      <c r="G111" s="1292"/>
      <c r="H111" s="1292"/>
      <c r="I111" s="1292"/>
      <c r="J111" s="1292"/>
      <c r="K111" s="1292"/>
    </row>
    <row r="112" spans="1:11" ht="15.75" customHeight="1" x14ac:dyDescent="0.25">
      <c r="A112" s="1183">
        <f t="shared" si="2"/>
        <v>88</v>
      </c>
      <c r="B112" s="957" t="s">
        <v>1117</v>
      </c>
      <c r="C112" s="1293"/>
      <c r="D112" s="1292"/>
      <c r="E112" s="1292"/>
      <c r="F112" s="1292"/>
      <c r="G112" s="1292"/>
      <c r="H112" s="1292"/>
      <c r="I112" s="1292"/>
      <c r="J112" s="1292"/>
      <c r="K112" s="1292"/>
    </row>
    <row r="113" spans="1:11" ht="15.75" customHeight="1" x14ac:dyDescent="0.25">
      <c r="A113" s="1183">
        <f t="shared" si="2"/>
        <v>89</v>
      </c>
      <c r="B113" s="957" t="s">
        <v>1118</v>
      </c>
      <c r="C113" s="1293"/>
      <c r="D113" s="1292"/>
      <c r="E113" s="1292"/>
      <c r="F113" s="1292"/>
      <c r="G113" s="1292"/>
      <c r="H113" s="1292"/>
      <c r="I113" s="1292"/>
      <c r="J113" s="1292"/>
      <c r="K113" s="1292"/>
    </row>
    <row r="114" spans="1:11" ht="15.75" customHeight="1" x14ac:dyDescent="0.25">
      <c r="A114" s="1183">
        <f t="shared" si="2"/>
        <v>90</v>
      </c>
      <c r="B114" s="957" t="s">
        <v>1119</v>
      </c>
      <c r="C114" s="1293"/>
      <c r="D114" s="1292"/>
      <c r="E114" s="1292"/>
      <c r="F114" s="1292"/>
      <c r="G114" s="1292"/>
      <c r="H114" s="1292"/>
      <c r="I114" s="1292"/>
      <c r="J114" s="1292"/>
      <c r="K114" s="1292"/>
    </row>
    <row r="115" spans="1:11" ht="15.75" customHeight="1" x14ac:dyDescent="0.25">
      <c r="A115" s="1183">
        <f t="shared" si="2"/>
        <v>91</v>
      </c>
      <c r="B115" s="957" t="s">
        <v>1120</v>
      </c>
      <c r="C115" s="1293"/>
      <c r="D115" s="1292"/>
      <c r="E115" s="1292"/>
      <c r="F115" s="1292"/>
      <c r="G115" s="1292"/>
      <c r="H115" s="1292"/>
      <c r="I115" s="1292"/>
      <c r="J115" s="1292"/>
      <c r="K115" s="1292"/>
    </row>
    <row r="116" spans="1:11" ht="15.75" customHeight="1" x14ac:dyDescent="0.25">
      <c r="A116" s="1183">
        <f t="shared" si="2"/>
        <v>92</v>
      </c>
      <c r="B116" s="957" t="s">
        <v>1121</v>
      </c>
      <c r="C116" s="1293"/>
      <c r="D116" s="1292"/>
      <c r="E116" s="1292"/>
      <c r="F116" s="1292"/>
      <c r="G116" s="1292"/>
      <c r="H116" s="1292"/>
      <c r="I116" s="1292"/>
      <c r="J116" s="1292"/>
      <c r="K116" s="1292"/>
    </row>
    <row r="117" spans="1:11" ht="15.75" customHeight="1" x14ac:dyDescent="0.25">
      <c r="A117" s="1183">
        <f t="shared" si="2"/>
        <v>93</v>
      </c>
      <c r="B117" s="957" t="s">
        <v>1122</v>
      </c>
      <c r="C117" s="1293"/>
      <c r="D117" s="1292"/>
      <c r="E117" s="1292"/>
      <c r="F117" s="1292"/>
      <c r="G117" s="1292"/>
      <c r="H117" s="1292"/>
      <c r="I117" s="1292"/>
      <c r="J117" s="1292"/>
      <c r="K117" s="1292"/>
    </row>
    <row r="118" spans="1:11" ht="15.75" customHeight="1" x14ac:dyDescent="0.25">
      <c r="A118" s="1183">
        <f t="shared" si="2"/>
        <v>94</v>
      </c>
      <c r="B118" s="1181" t="s">
        <v>1123</v>
      </c>
      <c r="C118" s="1293"/>
      <c r="D118" s="1292"/>
      <c r="E118" s="1292"/>
      <c r="F118" s="1292"/>
      <c r="G118" s="1292"/>
      <c r="H118" s="1292"/>
      <c r="I118" s="1292"/>
      <c r="J118" s="1292"/>
      <c r="K118" s="1292"/>
    </row>
    <row r="119" spans="1:11" ht="15.75" customHeight="1" x14ac:dyDescent="0.25">
      <c r="A119" s="1183">
        <f t="shared" si="2"/>
        <v>95</v>
      </c>
      <c r="B119" s="1181" t="s">
        <v>1124</v>
      </c>
      <c r="C119" s="1293"/>
      <c r="D119" s="1292"/>
      <c r="E119" s="1292"/>
      <c r="F119" s="1292"/>
      <c r="G119" s="1292"/>
      <c r="H119" s="1292"/>
      <c r="I119" s="1292"/>
      <c r="J119" s="1292"/>
      <c r="K119" s="1292"/>
    </row>
    <row r="120" spans="1:11" ht="15.75" customHeight="1" x14ac:dyDescent="0.25">
      <c r="A120" s="1183">
        <f t="shared" si="2"/>
        <v>96</v>
      </c>
      <c r="B120" s="1022" t="s">
        <v>1125</v>
      </c>
      <c r="C120" s="1293"/>
      <c r="D120" s="1292"/>
      <c r="E120" s="1292"/>
      <c r="F120" s="1292"/>
      <c r="G120" s="1292"/>
      <c r="H120" s="1292"/>
      <c r="I120" s="1292"/>
      <c r="J120" s="1292"/>
      <c r="K120" s="1292"/>
    </row>
    <row r="121" spans="1:11" ht="15.75" customHeight="1" x14ac:dyDescent="0.25">
      <c r="A121" s="1183">
        <f t="shared" si="2"/>
        <v>97</v>
      </c>
      <c r="B121" s="1992" t="s">
        <v>1126</v>
      </c>
      <c r="C121" s="1293"/>
      <c r="D121" s="1292"/>
      <c r="E121" s="1292"/>
      <c r="F121" s="1292"/>
      <c r="G121" s="1292"/>
      <c r="H121" s="1292"/>
      <c r="I121" s="1292"/>
      <c r="J121" s="1292"/>
      <c r="K121" s="1292"/>
    </row>
    <row r="122" spans="1:11" ht="15.75" customHeight="1" x14ac:dyDescent="0.25">
      <c r="A122" s="1183">
        <f t="shared" si="2"/>
        <v>98</v>
      </c>
      <c r="B122" s="1993" t="s">
        <v>1127</v>
      </c>
      <c r="C122" s="1293"/>
      <c r="D122" s="1292"/>
      <c r="E122" s="1292"/>
      <c r="F122" s="1292"/>
      <c r="G122" s="1292"/>
      <c r="H122" s="1292"/>
      <c r="I122" s="1292"/>
      <c r="J122" s="1292"/>
      <c r="K122" s="1292"/>
    </row>
    <row r="123" spans="1:11" ht="15.75" customHeight="1" x14ac:dyDescent="0.25">
      <c r="A123" s="1183">
        <f t="shared" si="2"/>
        <v>99</v>
      </c>
      <c r="B123" s="1993" t="s">
        <v>1128</v>
      </c>
      <c r="C123" s="1293"/>
      <c r="D123" s="1292"/>
      <c r="E123" s="1292"/>
      <c r="F123" s="1292"/>
      <c r="G123" s="1292"/>
      <c r="H123" s="1292"/>
      <c r="I123" s="1292"/>
      <c r="J123" s="1292"/>
      <c r="K123" s="1292"/>
    </row>
    <row r="124" spans="1:11" ht="15.75" customHeight="1" x14ac:dyDescent="0.25">
      <c r="A124" s="1183">
        <f t="shared" si="2"/>
        <v>100</v>
      </c>
      <c r="B124" s="1993" t="s">
        <v>1129</v>
      </c>
      <c r="C124" s="1293"/>
      <c r="D124" s="1292"/>
      <c r="E124" s="1292"/>
      <c r="F124" s="1292"/>
      <c r="G124" s="1292"/>
      <c r="H124" s="1292"/>
      <c r="I124" s="1292"/>
      <c r="J124" s="1292"/>
      <c r="K124" s="1292"/>
    </row>
    <row r="125" spans="1:11" x14ac:dyDescent="0.25">
      <c r="A125" s="1183">
        <f t="shared" si="2"/>
        <v>101</v>
      </c>
      <c r="B125" s="957" t="s">
        <v>1130</v>
      </c>
      <c r="C125" s="1293"/>
      <c r="D125" s="1292"/>
      <c r="E125" s="1292"/>
      <c r="F125" s="1292"/>
      <c r="G125" s="1292"/>
      <c r="H125" s="1292"/>
      <c r="I125" s="1292"/>
      <c r="J125" s="1292"/>
      <c r="K125" s="1292"/>
    </row>
    <row r="126" spans="1:11" ht="15.75" customHeight="1" x14ac:dyDescent="0.25">
      <c r="A126" s="1183">
        <f t="shared" si="2"/>
        <v>102</v>
      </c>
      <c r="B126" s="957" t="s">
        <v>1131</v>
      </c>
      <c r="C126" s="1293"/>
      <c r="D126" s="1292"/>
      <c r="E126" s="1292"/>
      <c r="F126" s="1292"/>
      <c r="G126" s="1292"/>
      <c r="H126" s="1292"/>
      <c r="I126" s="1292"/>
      <c r="J126" s="1292"/>
      <c r="K126" s="1292"/>
    </row>
    <row r="127" spans="1:11" ht="15.75" customHeight="1" x14ac:dyDescent="0.25">
      <c r="A127" s="1183">
        <f t="shared" si="2"/>
        <v>103</v>
      </c>
      <c r="B127" s="957" t="s">
        <v>1132</v>
      </c>
      <c r="C127" s="1293"/>
      <c r="D127" s="1292"/>
      <c r="E127" s="1292"/>
      <c r="F127" s="1292"/>
      <c r="G127" s="1292"/>
      <c r="H127" s="1292"/>
      <c r="I127" s="1292"/>
      <c r="J127" s="1292"/>
      <c r="K127" s="1292"/>
    </row>
    <row r="128" spans="1:11" x14ac:dyDescent="0.25">
      <c r="A128" s="1183"/>
      <c r="B128" s="1500" t="s">
        <v>1133</v>
      </c>
      <c r="C128" s="1293"/>
      <c r="D128" s="1292"/>
      <c r="E128" s="1292"/>
      <c r="F128" s="1292"/>
      <c r="G128" s="1292"/>
      <c r="H128" s="1292"/>
      <c r="I128" s="1292"/>
      <c r="J128" s="1292"/>
      <c r="K128" s="1292"/>
    </row>
    <row r="129" spans="1:11" ht="16.5" customHeight="1" x14ac:dyDescent="0.25">
      <c r="A129" s="1183">
        <f>A127+1</f>
        <v>104</v>
      </c>
      <c r="B129" s="1181" t="s">
        <v>1134</v>
      </c>
      <c r="C129" s="1293"/>
      <c r="D129" s="1292"/>
      <c r="E129" s="1292"/>
      <c r="F129" s="1292"/>
      <c r="G129" s="1292"/>
      <c r="H129" s="1292"/>
      <c r="I129" s="1292"/>
      <c r="J129" s="1292"/>
      <c r="K129" s="1292"/>
    </row>
    <row r="130" spans="1:11" ht="16.5" customHeight="1" x14ac:dyDescent="0.25">
      <c r="A130" s="1183">
        <f t="shared" ref="A130:A175" si="3">A129+1</f>
        <v>105</v>
      </c>
      <c r="B130" s="957" t="s">
        <v>1135</v>
      </c>
      <c r="C130" s="1293"/>
      <c r="D130" s="1292"/>
      <c r="E130" s="1292"/>
      <c r="F130" s="1292"/>
      <c r="G130" s="1292"/>
      <c r="H130" s="1292"/>
      <c r="I130" s="1292"/>
      <c r="J130" s="1292"/>
      <c r="K130" s="1292"/>
    </row>
    <row r="131" spans="1:11" ht="16.5" customHeight="1" x14ac:dyDescent="0.25">
      <c r="A131" s="1183">
        <f t="shared" si="3"/>
        <v>106</v>
      </c>
      <c r="B131" s="957" t="s">
        <v>1136</v>
      </c>
      <c r="C131" s="1293"/>
      <c r="D131" s="1292"/>
      <c r="E131" s="1292"/>
      <c r="F131" s="1292"/>
      <c r="G131" s="1292"/>
      <c r="H131" s="1292"/>
      <c r="I131" s="1292"/>
      <c r="J131" s="1292"/>
      <c r="K131" s="1292"/>
    </row>
    <row r="132" spans="1:11" ht="16.5" customHeight="1" x14ac:dyDescent="0.25">
      <c r="A132" s="1183">
        <f t="shared" si="3"/>
        <v>107</v>
      </c>
      <c r="B132" s="957" t="s">
        <v>1137</v>
      </c>
      <c r="C132" s="1293"/>
      <c r="D132" s="1292"/>
      <c r="E132" s="1292"/>
      <c r="F132" s="1292"/>
      <c r="G132" s="1292"/>
      <c r="H132" s="1292"/>
      <c r="I132" s="1292"/>
      <c r="J132" s="1292"/>
      <c r="K132" s="1292"/>
    </row>
    <row r="133" spans="1:11" ht="16.5" customHeight="1" x14ac:dyDescent="0.25">
      <c r="A133" s="1183">
        <f t="shared" si="3"/>
        <v>108</v>
      </c>
      <c r="B133" s="1182" t="s">
        <v>1138</v>
      </c>
      <c r="C133" s="1293"/>
      <c r="D133" s="1292"/>
      <c r="E133" s="1292"/>
      <c r="F133" s="1292"/>
      <c r="G133" s="1292"/>
      <c r="H133" s="1292"/>
      <c r="I133" s="1292"/>
      <c r="J133" s="1292"/>
      <c r="K133" s="1292"/>
    </row>
    <row r="134" spans="1:11" ht="16.5" customHeight="1" x14ac:dyDescent="0.25">
      <c r="A134" s="1183">
        <f t="shared" si="3"/>
        <v>109</v>
      </c>
      <c r="B134" s="1184" t="s">
        <v>1139</v>
      </c>
      <c r="C134" s="1293"/>
      <c r="D134" s="1292"/>
      <c r="E134" s="1292"/>
      <c r="F134" s="1292"/>
      <c r="G134" s="1292"/>
      <c r="H134" s="1292"/>
      <c r="I134" s="1292"/>
      <c r="J134" s="1292"/>
      <c r="K134" s="1292"/>
    </row>
    <row r="135" spans="1:11" ht="16.5" customHeight="1" x14ac:dyDescent="0.25">
      <c r="A135" s="1183">
        <f t="shared" si="3"/>
        <v>110</v>
      </c>
      <c r="B135" s="1181" t="s">
        <v>1140</v>
      </c>
      <c r="C135" s="1293"/>
      <c r="D135" s="1292"/>
      <c r="E135" s="1292"/>
      <c r="F135" s="1292"/>
      <c r="G135" s="1292"/>
      <c r="H135" s="1292"/>
      <c r="I135" s="1292"/>
      <c r="J135" s="1292"/>
      <c r="K135" s="1292"/>
    </row>
    <row r="136" spans="1:11" ht="16.5" customHeight="1" x14ac:dyDescent="0.25">
      <c r="A136" s="1183">
        <f>A135+1</f>
        <v>111</v>
      </c>
      <c r="B136" s="1998" t="s">
        <v>1141</v>
      </c>
      <c r="C136" s="1293"/>
      <c r="D136" s="1292"/>
      <c r="E136" s="1292"/>
      <c r="F136" s="1292"/>
      <c r="G136" s="1292"/>
      <c r="H136" s="1292"/>
      <c r="I136" s="1292"/>
      <c r="J136" s="1292"/>
      <c r="K136" s="1292"/>
    </row>
    <row r="137" spans="1:11" ht="16.5" customHeight="1" x14ac:dyDescent="0.25">
      <c r="A137" s="1183">
        <f t="shared" si="3"/>
        <v>112</v>
      </c>
      <c r="B137" s="957" t="s">
        <v>1142</v>
      </c>
      <c r="C137" s="1293"/>
      <c r="D137" s="1292"/>
      <c r="E137" s="1292"/>
      <c r="F137" s="1292"/>
      <c r="G137" s="1292"/>
      <c r="H137" s="1292"/>
      <c r="I137" s="1292"/>
      <c r="J137" s="1292"/>
      <c r="K137" s="1292"/>
    </row>
    <row r="138" spans="1:11" ht="16.5" customHeight="1" x14ac:dyDescent="0.25">
      <c r="A138" s="1183">
        <f t="shared" si="3"/>
        <v>113</v>
      </c>
      <c r="B138" s="2152" t="s">
        <v>1143</v>
      </c>
      <c r="C138" s="1293"/>
      <c r="D138" s="1292"/>
      <c r="E138" s="1292"/>
      <c r="F138" s="1292"/>
      <c r="G138" s="1292"/>
      <c r="H138" s="1292"/>
      <c r="I138" s="1292"/>
      <c r="J138" s="1292"/>
      <c r="K138" s="1292"/>
    </row>
    <row r="139" spans="1:11" ht="16.5" customHeight="1" x14ac:dyDescent="0.25">
      <c r="A139" s="1183">
        <f t="shared" si="3"/>
        <v>114</v>
      </c>
      <c r="B139" s="2153" t="s">
        <v>1144</v>
      </c>
      <c r="C139" s="1293"/>
      <c r="D139" s="1292"/>
      <c r="E139" s="1292"/>
      <c r="F139" s="1292"/>
      <c r="G139" s="1292"/>
      <c r="H139" s="1292"/>
      <c r="I139" s="1292"/>
      <c r="J139" s="1292"/>
      <c r="K139" s="1292"/>
    </row>
    <row r="140" spans="1:11" ht="16.5" customHeight="1" x14ac:dyDescent="0.25">
      <c r="A140" s="1183">
        <f t="shared" si="3"/>
        <v>115</v>
      </c>
      <c r="B140" s="957" t="s">
        <v>1145</v>
      </c>
      <c r="C140" s="1293"/>
      <c r="D140" s="1292"/>
      <c r="E140" s="1292"/>
      <c r="F140" s="1292"/>
      <c r="G140" s="1292"/>
      <c r="H140" s="1292"/>
      <c r="I140" s="1292"/>
      <c r="J140" s="1292"/>
      <c r="K140" s="1292"/>
    </row>
    <row r="141" spans="1:11" ht="16.5" customHeight="1" x14ac:dyDescent="0.25">
      <c r="A141" s="1183">
        <f t="shared" si="3"/>
        <v>116</v>
      </c>
      <c r="B141" s="1182" t="s">
        <v>1146</v>
      </c>
      <c r="C141" s="1293"/>
      <c r="D141" s="1292"/>
      <c r="E141" s="1292"/>
      <c r="F141" s="1292"/>
      <c r="G141" s="1292"/>
      <c r="H141" s="1292"/>
      <c r="I141" s="1292"/>
      <c r="J141" s="1292"/>
      <c r="K141" s="1292"/>
    </row>
    <row r="142" spans="1:11" ht="16.5" customHeight="1" x14ac:dyDescent="0.25">
      <c r="A142" s="1183">
        <f t="shared" si="3"/>
        <v>117</v>
      </c>
      <c r="B142" s="1182" t="s">
        <v>1147</v>
      </c>
      <c r="C142" s="1293"/>
      <c r="D142" s="1292"/>
      <c r="E142" s="1292"/>
      <c r="F142" s="1292"/>
      <c r="G142" s="1292"/>
      <c r="H142" s="1292"/>
      <c r="I142" s="1292"/>
      <c r="J142" s="1292"/>
      <c r="K142" s="1292"/>
    </row>
    <row r="143" spans="1:11" ht="16.5" customHeight="1" x14ac:dyDescent="0.25">
      <c r="A143" s="1183">
        <f t="shared" si="3"/>
        <v>118</v>
      </c>
      <c r="B143" s="1197" t="s">
        <v>1148</v>
      </c>
      <c r="C143" s="1293"/>
      <c r="D143" s="1292"/>
      <c r="E143" s="1292"/>
      <c r="F143" s="1292"/>
      <c r="G143" s="1292"/>
      <c r="H143" s="1292"/>
      <c r="I143" s="1292"/>
      <c r="J143" s="1292"/>
      <c r="K143" s="1292"/>
    </row>
    <row r="144" spans="1:11" ht="16.5" customHeight="1" x14ac:dyDescent="0.25">
      <c r="A144" s="1183">
        <f t="shared" si="3"/>
        <v>119</v>
      </c>
      <c r="B144" s="1198" t="s">
        <v>1149</v>
      </c>
      <c r="C144" s="1293"/>
      <c r="D144" s="1292"/>
      <c r="E144" s="1292"/>
      <c r="F144" s="1292"/>
      <c r="G144" s="1292"/>
      <c r="H144" s="1292"/>
      <c r="I144" s="1292"/>
      <c r="J144" s="1292"/>
      <c r="K144" s="1292"/>
    </row>
    <row r="145" spans="1:11" ht="16.5" customHeight="1" x14ac:dyDescent="0.25">
      <c r="A145" s="1183">
        <f t="shared" si="3"/>
        <v>120</v>
      </c>
      <c r="B145" s="1198" t="s">
        <v>1150</v>
      </c>
      <c r="C145" s="1293"/>
      <c r="D145" s="1292"/>
      <c r="E145" s="1292"/>
      <c r="F145" s="1292"/>
      <c r="G145" s="1292"/>
      <c r="H145" s="1292"/>
      <c r="I145" s="1292"/>
      <c r="J145" s="1292"/>
      <c r="K145" s="1292"/>
    </row>
    <row r="146" spans="1:11" ht="16.5" customHeight="1" x14ac:dyDescent="0.25">
      <c r="A146" s="1183">
        <f t="shared" si="3"/>
        <v>121</v>
      </c>
      <c r="B146" s="1199" t="s">
        <v>1151</v>
      </c>
      <c r="C146" s="1293"/>
      <c r="D146" s="1292"/>
      <c r="E146" s="1292"/>
      <c r="F146" s="1292"/>
      <c r="G146" s="1292"/>
      <c r="H146" s="1292"/>
      <c r="I146" s="1292"/>
      <c r="J146" s="1292"/>
      <c r="K146" s="1292"/>
    </row>
    <row r="147" spans="1:11" ht="16.5" customHeight="1" x14ac:dyDescent="0.25">
      <c r="A147" s="1183">
        <f t="shared" si="3"/>
        <v>122</v>
      </c>
      <c r="B147" s="1181" t="s">
        <v>1152</v>
      </c>
      <c r="C147" s="1293"/>
      <c r="D147" s="1292"/>
      <c r="E147" s="1292"/>
      <c r="F147" s="1292"/>
      <c r="G147" s="1292"/>
      <c r="H147" s="1292"/>
      <c r="I147" s="1292"/>
      <c r="J147" s="1292"/>
      <c r="K147" s="1292"/>
    </row>
    <row r="148" spans="1:11" ht="16.5" customHeight="1" x14ac:dyDescent="0.25">
      <c r="A148" s="1183">
        <f t="shared" si="3"/>
        <v>123</v>
      </c>
      <c r="B148" s="957" t="s">
        <v>1153</v>
      </c>
      <c r="C148" s="1293"/>
      <c r="D148" s="1292"/>
      <c r="E148" s="1292"/>
      <c r="F148" s="1292"/>
      <c r="G148" s="1292"/>
      <c r="H148" s="1292"/>
      <c r="I148" s="1292"/>
      <c r="J148" s="1292"/>
      <c r="K148" s="1292"/>
    </row>
    <row r="149" spans="1:11" ht="16.5" customHeight="1" x14ac:dyDescent="0.25">
      <c r="A149" s="1183">
        <f t="shared" si="3"/>
        <v>124</v>
      </c>
      <c r="B149" s="957" t="s">
        <v>1154</v>
      </c>
      <c r="C149" s="1293"/>
      <c r="D149" s="1292"/>
      <c r="E149" s="1292"/>
      <c r="F149" s="1292"/>
      <c r="G149" s="1292"/>
      <c r="H149" s="1292"/>
      <c r="I149" s="1292"/>
      <c r="J149" s="1292"/>
      <c r="K149" s="1292"/>
    </row>
    <row r="150" spans="1:11" ht="16.5" customHeight="1" x14ac:dyDescent="0.25">
      <c r="A150" s="1183">
        <f t="shared" si="3"/>
        <v>125</v>
      </c>
      <c r="B150" s="957" t="s">
        <v>1155</v>
      </c>
      <c r="C150" s="1293"/>
      <c r="D150" s="1292"/>
      <c r="E150" s="1292"/>
      <c r="F150" s="1292"/>
      <c r="G150" s="1292"/>
      <c r="H150" s="1292"/>
      <c r="I150" s="1292"/>
      <c r="J150" s="1292"/>
      <c r="K150" s="1292"/>
    </row>
    <row r="151" spans="1:11" ht="16.5" customHeight="1" x14ac:dyDescent="0.25">
      <c r="A151" s="1183">
        <f t="shared" si="3"/>
        <v>126</v>
      </c>
      <c r="B151" s="1182" t="s">
        <v>1156</v>
      </c>
      <c r="C151" s="1293"/>
      <c r="D151" s="1292"/>
      <c r="E151" s="1292"/>
      <c r="F151" s="1292"/>
      <c r="G151" s="1292"/>
      <c r="H151" s="1292"/>
      <c r="I151" s="1292"/>
      <c r="J151" s="1292"/>
      <c r="K151" s="1292"/>
    </row>
    <row r="152" spans="1:11" ht="16.5" customHeight="1" x14ac:dyDescent="0.25">
      <c r="A152" s="1183">
        <f t="shared" si="3"/>
        <v>127</v>
      </c>
      <c r="B152" s="1430" t="s">
        <v>1157</v>
      </c>
      <c r="C152" s="1293"/>
      <c r="D152" s="1292"/>
      <c r="E152" s="1292"/>
      <c r="F152" s="1292"/>
      <c r="G152" s="1292"/>
      <c r="H152" s="1292"/>
      <c r="I152" s="1292"/>
      <c r="J152" s="1292"/>
      <c r="K152" s="1292"/>
    </row>
    <row r="153" spans="1:11" s="2096" customFormat="1" ht="16.5" customHeight="1" x14ac:dyDescent="0.25">
      <c r="A153" s="1183">
        <f t="shared" si="3"/>
        <v>128</v>
      </c>
      <c r="B153" s="2093" t="s">
        <v>1158</v>
      </c>
      <c r="C153" s="2094"/>
      <c r="D153" s="2095"/>
      <c r="E153" s="2095"/>
      <c r="F153" s="2095"/>
      <c r="G153" s="2095"/>
      <c r="H153" s="2095"/>
      <c r="I153" s="2095"/>
      <c r="J153" s="2095"/>
      <c r="K153" s="2095"/>
    </row>
    <row r="154" spans="1:11" x14ac:dyDescent="0.25">
      <c r="A154" s="1183"/>
      <c r="B154" s="1501" t="s">
        <v>1159</v>
      </c>
      <c r="C154" s="1293"/>
      <c r="D154" s="1292"/>
      <c r="E154" s="1292"/>
      <c r="F154" s="1292"/>
      <c r="G154" s="1292"/>
      <c r="H154" s="1292"/>
      <c r="I154" s="1292"/>
      <c r="J154" s="1292"/>
      <c r="K154" s="1292"/>
    </row>
    <row r="155" spans="1:11" ht="17.25" customHeight="1" x14ac:dyDescent="0.25">
      <c r="A155" s="1183">
        <f>A153+1</f>
        <v>129</v>
      </c>
      <c r="B155" s="1196" t="s">
        <v>1160</v>
      </c>
      <c r="C155" s="1293"/>
      <c r="D155" s="1292"/>
      <c r="E155" s="1292"/>
      <c r="F155" s="1292"/>
      <c r="G155" s="1292"/>
      <c r="H155" s="1292"/>
      <c r="I155" s="1292"/>
      <c r="J155" s="1292"/>
      <c r="K155" s="1292"/>
    </row>
    <row r="156" spans="1:11" ht="17.25" customHeight="1" x14ac:dyDescent="0.25">
      <c r="A156" s="1183">
        <f>A155+1</f>
        <v>130</v>
      </c>
      <c r="B156" s="966" t="s">
        <v>1161</v>
      </c>
      <c r="C156" s="1293"/>
      <c r="D156" s="1292"/>
      <c r="E156" s="1292"/>
      <c r="F156" s="1292"/>
      <c r="G156" s="1292"/>
      <c r="H156" s="1292"/>
      <c r="I156" s="1292"/>
      <c r="J156" s="1292"/>
      <c r="K156" s="1292"/>
    </row>
    <row r="157" spans="1:11" ht="17.25" customHeight="1" x14ac:dyDescent="0.25">
      <c r="A157" s="1183">
        <f t="shared" ref="A157:A159" si="4">A156+1</f>
        <v>131</v>
      </c>
      <c r="B157" s="957" t="s">
        <v>1162</v>
      </c>
      <c r="C157" s="1293"/>
      <c r="D157" s="1292"/>
      <c r="E157" s="1292"/>
      <c r="F157" s="1292"/>
      <c r="G157" s="1292"/>
      <c r="H157" s="1292"/>
      <c r="I157" s="1292"/>
      <c r="J157" s="1292"/>
      <c r="K157" s="1292"/>
    </row>
    <row r="158" spans="1:11" ht="17.25" customHeight="1" x14ac:dyDescent="0.25">
      <c r="A158" s="1183">
        <f t="shared" si="4"/>
        <v>132</v>
      </c>
      <c r="B158" s="957" t="s">
        <v>1163</v>
      </c>
      <c r="C158" s="1293"/>
      <c r="D158" s="1292"/>
      <c r="E158" s="1292"/>
      <c r="F158" s="1292"/>
      <c r="G158" s="1292"/>
      <c r="H158" s="1292"/>
      <c r="I158" s="1292"/>
      <c r="J158" s="1292"/>
      <c r="K158" s="1292"/>
    </row>
    <row r="159" spans="1:11" ht="17.25" customHeight="1" x14ac:dyDescent="0.25">
      <c r="A159" s="1183">
        <f t="shared" si="4"/>
        <v>133</v>
      </c>
      <c r="B159" s="1182" t="s">
        <v>1164</v>
      </c>
      <c r="C159" s="1293"/>
      <c r="D159" s="1292"/>
      <c r="E159" s="1292"/>
      <c r="F159" s="1292"/>
      <c r="G159" s="1292"/>
      <c r="H159" s="1292"/>
      <c r="I159" s="1292"/>
      <c r="J159" s="1292"/>
      <c r="K159" s="1292"/>
    </row>
    <row r="160" spans="1:11" x14ac:dyDescent="0.25">
      <c r="A160" s="1183"/>
      <c r="B160" s="1511" t="s">
        <v>1165</v>
      </c>
      <c r="C160" s="1293"/>
      <c r="D160" s="1292"/>
      <c r="E160" s="1292"/>
      <c r="F160" s="1292"/>
      <c r="G160" s="1292"/>
      <c r="H160" s="1292"/>
      <c r="I160" s="1292"/>
      <c r="J160" s="1292"/>
      <c r="K160" s="1292"/>
    </row>
    <row r="161" spans="1:11" ht="17.25" customHeight="1" x14ac:dyDescent="0.25">
      <c r="A161" s="1183">
        <f>A159+1</f>
        <v>134</v>
      </c>
      <c r="B161" s="1196" t="s">
        <v>1166</v>
      </c>
      <c r="C161" s="1293"/>
      <c r="D161" s="1292"/>
      <c r="E161" s="1292"/>
      <c r="F161" s="1292"/>
      <c r="G161" s="1292"/>
      <c r="H161" s="1292"/>
      <c r="I161" s="1292"/>
      <c r="J161" s="1292"/>
      <c r="K161" s="1292"/>
    </row>
    <row r="162" spans="1:11" s="2096" customFormat="1" ht="17.25" customHeight="1" x14ac:dyDescent="0.25">
      <c r="A162" s="1996">
        <f t="shared" si="3"/>
        <v>135</v>
      </c>
      <c r="B162" s="1998" t="s">
        <v>1167</v>
      </c>
      <c r="C162" s="2094"/>
      <c r="D162" s="2095"/>
      <c r="E162" s="2095"/>
      <c r="F162" s="2095"/>
      <c r="G162" s="2095"/>
      <c r="H162" s="2095"/>
      <c r="I162" s="2095"/>
      <c r="J162" s="2095"/>
      <c r="K162" s="2095"/>
    </row>
    <row r="163" spans="1:11" s="2096" customFormat="1" ht="17.25" customHeight="1" x14ac:dyDescent="0.25">
      <c r="A163" s="1996">
        <f t="shared" si="3"/>
        <v>136</v>
      </c>
      <c r="B163" s="1998" t="s">
        <v>1168</v>
      </c>
      <c r="C163" s="2094"/>
      <c r="D163" s="2095"/>
      <c r="E163" s="2095"/>
      <c r="F163" s="2095"/>
      <c r="G163" s="2095"/>
      <c r="H163" s="2095"/>
      <c r="I163" s="2095"/>
      <c r="J163" s="2095"/>
      <c r="K163" s="2095"/>
    </row>
    <row r="164" spans="1:11" ht="17.25" customHeight="1" x14ac:dyDescent="0.25">
      <c r="A164" s="1996">
        <f t="shared" si="3"/>
        <v>137</v>
      </c>
      <c r="B164" s="1995" t="s">
        <v>1169</v>
      </c>
      <c r="C164" s="1293"/>
      <c r="D164" s="1292"/>
      <c r="E164" s="1292"/>
      <c r="F164" s="1292"/>
      <c r="G164" s="1292"/>
      <c r="H164" s="1292"/>
      <c r="I164" s="1292"/>
      <c r="J164" s="1292"/>
      <c r="K164" s="1292"/>
    </row>
    <row r="165" spans="1:11" ht="17.25" customHeight="1" x14ac:dyDescent="0.25">
      <c r="A165" s="1996">
        <f t="shared" si="3"/>
        <v>138</v>
      </c>
      <c r="B165" s="1994" t="s">
        <v>1170</v>
      </c>
      <c r="C165" s="1293"/>
      <c r="D165" s="1292"/>
      <c r="E165" s="1292"/>
      <c r="F165" s="1292"/>
      <c r="G165" s="1292"/>
      <c r="H165" s="1292"/>
      <c r="I165" s="1292"/>
      <c r="J165" s="1292"/>
      <c r="K165" s="1292"/>
    </row>
    <row r="166" spans="1:11" ht="17.25" customHeight="1" x14ac:dyDescent="0.25">
      <c r="A166" s="1996">
        <f t="shared" si="3"/>
        <v>139</v>
      </c>
      <c r="B166" s="1182" t="s">
        <v>1171</v>
      </c>
      <c r="C166" s="1293"/>
      <c r="D166" s="1292"/>
      <c r="E166" s="1292"/>
      <c r="F166" s="1292"/>
      <c r="G166" s="1292"/>
      <c r="H166" s="1292"/>
      <c r="I166" s="1292"/>
      <c r="J166" s="1292"/>
      <c r="K166" s="1292"/>
    </row>
    <row r="167" spans="1:11" ht="17.25" customHeight="1" x14ac:dyDescent="0.25">
      <c r="A167" s="1996">
        <f t="shared" si="3"/>
        <v>140</v>
      </c>
      <c r="B167" s="1184" t="s">
        <v>1172</v>
      </c>
      <c r="C167" s="1293"/>
      <c r="D167" s="1292"/>
      <c r="E167" s="1292"/>
      <c r="F167" s="1292"/>
      <c r="G167" s="1292"/>
      <c r="H167" s="1292"/>
      <c r="I167" s="1292"/>
      <c r="J167" s="1292"/>
      <c r="K167" s="1292"/>
    </row>
    <row r="168" spans="1:11" ht="17.25" customHeight="1" x14ac:dyDescent="0.25">
      <c r="A168" s="1996">
        <f t="shared" si="3"/>
        <v>141</v>
      </c>
      <c r="B168" s="1181" t="s">
        <v>1173</v>
      </c>
      <c r="C168" s="1293"/>
      <c r="D168" s="1292"/>
      <c r="E168" s="1292"/>
      <c r="F168" s="1292"/>
      <c r="G168" s="1292"/>
      <c r="H168" s="1292"/>
      <c r="I168" s="1292"/>
      <c r="J168" s="1292"/>
      <c r="K168" s="1292"/>
    </row>
    <row r="169" spans="1:11" ht="17.25" customHeight="1" x14ac:dyDescent="0.25">
      <c r="A169" s="1996">
        <f t="shared" si="3"/>
        <v>142</v>
      </c>
      <c r="B169" s="1182" t="s">
        <v>1174</v>
      </c>
      <c r="C169" s="1293"/>
      <c r="D169" s="1292"/>
      <c r="E169" s="1292"/>
      <c r="F169" s="1292"/>
      <c r="G169" s="1292"/>
      <c r="H169" s="1292"/>
      <c r="I169" s="1292"/>
      <c r="J169" s="1292"/>
      <c r="K169" s="1292"/>
    </row>
    <row r="170" spans="1:11" ht="17.25" customHeight="1" x14ac:dyDescent="0.25">
      <c r="A170" s="1996">
        <f t="shared" si="3"/>
        <v>143</v>
      </c>
      <c r="B170" s="2092" t="s">
        <v>1175</v>
      </c>
      <c r="C170" s="1293"/>
      <c r="D170" s="1292"/>
      <c r="E170" s="1292"/>
      <c r="F170" s="1292"/>
      <c r="G170" s="1292"/>
      <c r="H170" s="1292"/>
      <c r="I170" s="1292"/>
      <c r="J170" s="1292"/>
      <c r="K170" s="1292"/>
    </row>
    <row r="171" spans="1:11" ht="17.25" customHeight="1" x14ac:dyDescent="0.25">
      <c r="A171" s="1996">
        <f t="shared" si="3"/>
        <v>144</v>
      </c>
      <c r="B171" s="2149" t="s">
        <v>1176</v>
      </c>
      <c r="C171" s="1293"/>
      <c r="D171" s="1292"/>
      <c r="E171" s="1292"/>
      <c r="F171" s="1292"/>
      <c r="G171" s="1292"/>
      <c r="H171" s="1292"/>
      <c r="I171" s="1292"/>
      <c r="J171" s="1292"/>
      <c r="K171" s="1292"/>
    </row>
    <row r="172" spans="1:11" ht="17.25" customHeight="1" x14ac:dyDescent="0.25">
      <c r="A172" s="1996">
        <f t="shared" si="3"/>
        <v>145</v>
      </c>
      <c r="B172" s="2151" t="s">
        <v>1177</v>
      </c>
      <c r="C172" s="1293"/>
      <c r="D172" s="1292"/>
      <c r="E172" s="1292"/>
      <c r="F172" s="1292"/>
      <c r="G172" s="1292"/>
      <c r="H172" s="1292"/>
      <c r="I172" s="1292"/>
      <c r="J172" s="1292"/>
      <c r="K172" s="1292"/>
    </row>
    <row r="173" spans="1:11" ht="17.25" customHeight="1" x14ac:dyDescent="0.25">
      <c r="A173" s="1996">
        <f t="shared" si="3"/>
        <v>146</v>
      </c>
      <c r="B173" s="2150" t="s">
        <v>1178</v>
      </c>
      <c r="C173" s="1293"/>
      <c r="D173" s="1292"/>
      <c r="E173" s="1292"/>
      <c r="F173" s="1292"/>
      <c r="G173" s="1292"/>
      <c r="H173" s="1292"/>
      <c r="I173" s="1292"/>
      <c r="J173" s="1292"/>
      <c r="K173" s="1292"/>
    </row>
    <row r="174" spans="1:11" ht="17.25" customHeight="1" x14ac:dyDescent="0.25">
      <c r="A174" s="1996">
        <f t="shared" si="3"/>
        <v>147</v>
      </c>
      <c r="B174" s="1184" t="s">
        <v>1179</v>
      </c>
      <c r="C174" s="1293"/>
      <c r="D174" s="1292"/>
      <c r="E174" s="1292"/>
      <c r="F174" s="1292"/>
      <c r="G174" s="1292"/>
      <c r="H174" s="1292"/>
      <c r="I174" s="1292"/>
      <c r="J174" s="1292"/>
      <c r="K174" s="1292"/>
    </row>
    <row r="175" spans="1:11" ht="17.25" customHeight="1" x14ac:dyDescent="0.25">
      <c r="A175" s="1996">
        <f t="shared" si="3"/>
        <v>148</v>
      </c>
      <c r="B175" s="957" t="s">
        <v>1180</v>
      </c>
      <c r="C175" s="1293"/>
      <c r="D175" s="1292"/>
      <c r="E175" s="1292"/>
      <c r="F175" s="1292"/>
      <c r="G175" s="1292"/>
      <c r="H175" s="1292"/>
      <c r="I175" s="1292"/>
      <c r="J175" s="1292"/>
      <c r="K175" s="1292"/>
    </row>
    <row r="176" spans="1:11" x14ac:dyDescent="0.25">
      <c r="A176" s="1183"/>
      <c r="B176" s="2098" t="s">
        <v>1181</v>
      </c>
      <c r="C176" s="1293"/>
      <c r="D176" s="1292"/>
      <c r="E176" s="1292"/>
      <c r="F176" s="1292"/>
      <c r="G176" s="1292"/>
      <c r="H176" s="1292"/>
      <c r="I176" s="1292"/>
      <c r="J176" s="1292"/>
      <c r="K176" s="1292"/>
    </row>
    <row r="177" spans="1:11" ht="17.25" customHeight="1" x14ac:dyDescent="0.25">
      <c r="A177" s="1183">
        <f>A175+1</f>
        <v>149</v>
      </c>
      <c r="B177" s="957" t="s">
        <v>1182</v>
      </c>
      <c r="C177" s="2097"/>
      <c r="D177" s="1292"/>
      <c r="E177" s="1292"/>
      <c r="F177" s="1292"/>
      <c r="G177" s="1292"/>
      <c r="H177" s="1292"/>
      <c r="I177" s="1292"/>
      <c r="J177" s="1292"/>
      <c r="K177" s="1292"/>
    </row>
    <row r="178" spans="1:11" ht="17.25" customHeight="1" x14ac:dyDescent="0.25">
      <c r="A178" s="1996">
        <f>A177+1</f>
        <v>150</v>
      </c>
      <c r="B178" s="1999" t="s">
        <v>1183</v>
      </c>
      <c r="C178" s="1293"/>
      <c r="D178" s="1292"/>
      <c r="E178" s="1292"/>
      <c r="F178" s="1292"/>
      <c r="G178" s="1292"/>
      <c r="H178" s="1292"/>
      <c r="I178" s="1292"/>
      <c r="J178" s="1292"/>
      <c r="K178" s="1292"/>
    </row>
    <row r="179" spans="1:11" ht="17.25" customHeight="1" x14ac:dyDescent="0.25">
      <c r="A179" s="1996">
        <f t="shared" ref="A179:A187" si="5">A178+1</f>
        <v>151</v>
      </c>
      <c r="B179" s="1639" t="s">
        <v>1184</v>
      </c>
      <c r="C179" s="1293"/>
      <c r="D179" s="1292"/>
      <c r="E179" s="1292"/>
      <c r="F179" s="1292"/>
      <c r="G179" s="1292"/>
      <c r="H179" s="1292"/>
      <c r="I179" s="1292"/>
      <c r="J179" s="1292"/>
      <c r="K179" s="1292"/>
    </row>
    <row r="180" spans="1:11" ht="17.25" customHeight="1" x14ac:dyDescent="0.25">
      <c r="A180" s="1996">
        <f t="shared" si="5"/>
        <v>152</v>
      </c>
      <c r="B180" s="957" t="s">
        <v>1185</v>
      </c>
      <c r="C180" s="1293"/>
      <c r="D180" s="1292"/>
      <c r="E180" s="1292"/>
      <c r="F180" s="1292"/>
      <c r="G180" s="1292"/>
      <c r="H180" s="1292"/>
      <c r="I180" s="1292"/>
      <c r="J180" s="1292"/>
      <c r="K180" s="1292"/>
    </row>
    <row r="181" spans="1:11" ht="28" customHeight="1" x14ac:dyDescent="0.25">
      <c r="A181" s="1996">
        <f t="shared" si="5"/>
        <v>153</v>
      </c>
      <c r="B181" s="957" t="s">
        <v>1186</v>
      </c>
      <c r="C181" s="1293"/>
      <c r="D181" s="1292"/>
      <c r="E181" s="1292"/>
      <c r="F181" s="1292"/>
      <c r="G181" s="1292"/>
      <c r="H181" s="1292"/>
      <c r="I181" s="1292"/>
      <c r="J181" s="1292"/>
      <c r="K181" s="1292"/>
    </row>
    <row r="182" spans="1:11" ht="26.25" customHeight="1" x14ac:dyDescent="0.25">
      <c r="A182" s="1996">
        <f t="shared" si="5"/>
        <v>154</v>
      </c>
      <c r="B182" s="957" t="s">
        <v>1187</v>
      </c>
      <c r="C182" s="1293"/>
      <c r="D182" s="1292"/>
      <c r="E182" s="1292"/>
      <c r="F182" s="1292"/>
      <c r="G182" s="1292"/>
      <c r="H182" s="1292"/>
      <c r="I182" s="1292"/>
      <c r="J182" s="1292"/>
      <c r="K182" s="1292"/>
    </row>
    <row r="183" spans="1:11" ht="17.25" customHeight="1" x14ac:dyDescent="0.25">
      <c r="A183" s="1996">
        <f t="shared" si="5"/>
        <v>155</v>
      </c>
      <c r="B183" s="957" t="s">
        <v>1188</v>
      </c>
      <c r="C183" s="1293"/>
      <c r="D183" s="1292"/>
      <c r="E183" s="1292"/>
      <c r="F183" s="1292"/>
      <c r="G183" s="1292"/>
      <c r="H183" s="1292"/>
      <c r="I183" s="1292"/>
      <c r="J183" s="1292"/>
      <c r="K183" s="1292"/>
    </row>
    <row r="184" spans="1:11" ht="17.25" customHeight="1" x14ac:dyDescent="0.25">
      <c r="A184" s="1996">
        <f t="shared" si="5"/>
        <v>156</v>
      </c>
      <c r="B184" s="957" t="s">
        <v>1189</v>
      </c>
      <c r="C184" s="1293"/>
      <c r="D184" s="1292"/>
      <c r="E184" s="1292"/>
      <c r="F184" s="1292"/>
      <c r="G184" s="1292"/>
      <c r="H184" s="1292"/>
      <c r="I184" s="1292"/>
      <c r="J184" s="1292"/>
      <c r="K184" s="1292"/>
    </row>
    <row r="185" spans="1:11" ht="17.25" customHeight="1" x14ac:dyDescent="0.25">
      <c r="A185" s="1996">
        <f t="shared" si="5"/>
        <v>157</v>
      </c>
      <c r="B185" s="957" t="s">
        <v>1190</v>
      </c>
      <c r="C185" s="1293"/>
      <c r="D185" s="1292"/>
      <c r="E185" s="1292"/>
      <c r="F185" s="1292"/>
      <c r="G185" s="1292"/>
      <c r="H185" s="1292"/>
      <c r="I185" s="1292"/>
      <c r="J185" s="1292"/>
      <c r="K185" s="1292"/>
    </row>
    <row r="186" spans="1:11" ht="23" x14ac:dyDescent="0.25">
      <c r="A186" s="1996">
        <f t="shared" si="5"/>
        <v>158</v>
      </c>
      <c r="B186" s="1640" t="s">
        <v>1191</v>
      </c>
      <c r="C186" s="1293"/>
      <c r="D186" s="1292"/>
      <c r="E186" s="1292"/>
      <c r="F186" s="1292"/>
      <c r="G186" s="1292"/>
      <c r="H186" s="1292"/>
      <c r="I186" s="1292"/>
      <c r="J186" s="1292"/>
      <c r="K186" s="1292"/>
    </row>
    <row r="187" spans="1:11" ht="17.25" customHeight="1" x14ac:dyDescent="0.25">
      <c r="A187" s="1996">
        <f t="shared" si="5"/>
        <v>159</v>
      </c>
      <c r="B187" s="841" t="s">
        <v>1192</v>
      </c>
      <c r="C187" s="1293"/>
      <c r="D187" s="1292"/>
      <c r="E187" s="1292"/>
      <c r="F187" s="1292"/>
      <c r="G187" s="1292"/>
      <c r="H187" s="1292"/>
      <c r="I187" s="1292"/>
      <c r="J187" s="1292"/>
      <c r="K187" s="1292"/>
    </row>
  </sheetData>
  <mergeCells count="14">
    <mergeCell ref="I5:J5"/>
    <mergeCell ref="I6:J15"/>
    <mergeCell ref="H6:H15"/>
    <mergeCell ref="A6:A17"/>
    <mergeCell ref="H4:K4"/>
    <mergeCell ref="K6:K15"/>
    <mergeCell ref="B6:B16"/>
    <mergeCell ref="C6:C12"/>
    <mergeCell ref="C14:C15"/>
    <mergeCell ref="C4:G4"/>
    <mergeCell ref="D5:E5"/>
    <mergeCell ref="F6:F15"/>
    <mergeCell ref="D6:E15"/>
    <mergeCell ref="G6:G16"/>
  </mergeCells>
  <pageMargins left="0.314" right="0.314" top="0.11799999999999999" bottom="0.27500000000000002" header="0.157" footer="0.11799999999999999"/>
  <pageSetup scale="69" firstPageNumber="42" orientation="landscape" r:id="rId1"/>
  <headerFooter>
    <oddFooter>&amp;C&amp;P</oddFooter>
  </headerFooter>
  <rowBreaks count="6" manualBreakCount="6">
    <brk id="44" max="10" man="1"/>
    <brk id="71" max="16383" man="1"/>
    <brk id="100" max="16383" man="1"/>
    <brk id="127" max="16383" man="1"/>
    <brk id="153" max="16383" man="1"/>
    <brk id="175"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60"/>
  <sheetViews>
    <sheetView zoomScale="130" zoomScaleNormal="130" zoomScaleSheetLayoutView="130" workbookViewId="0">
      <selection activeCell="B5" sqref="B5"/>
    </sheetView>
  </sheetViews>
  <sheetFormatPr defaultColWidth="9.1796875" defaultRowHeight="12.5" x14ac:dyDescent="0.25"/>
  <cols>
    <col min="1" max="1" width="5.1796875" style="1218" bestFit="1" customWidth="1"/>
    <col min="2" max="2" width="3.7265625" style="1218" customWidth="1"/>
    <col min="3" max="3" width="4.7265625" style="1218" customWidth="1"/>
    <col min="4" max="8" width="9.1796875" style="1218" customWidth="1"/>
    <col min="9" max="9" width="7.453125" style="1219" customWidth="1"/>
    <col min="10" max="10" width="2.453125" style="1219" customWidth="1"/>
    <col min="11" max="11" width="5.1796875" style="1002" bestFit="1" customWidth="1"/>
    <col min="12" max="12" width="3.7265625" style="1002" customWidth="1"/>
    <col min="13" max="13" width="9.1796875" style="1002" customWidth="1"/>
    <col min="14" max="18" width="9.1796875" style="1002"/>
    <col min="19" max="19" width="5.1796875" style="1002" customWidth="1"/>
    <col min="20" max="20" width="9.1796875" style="1002" customWidth="1"/>
    <col min="21" max="16384" width="9.1796875" style="1002"/>
  </cols>
  <sheetData>
    <row r="1" spans="1:22" ht="13" x14ac:dyDescent="0.3">
      <c r="A1" s="1217" t="s">
        <v>1193</v>
      </c>
    </row>
    <row r="2" spans="1:22" ht="13" x14ac:dyDescent="0.3">
      <c r="A2" s="1217" t="s">
        <v>1194</v>
      </c>
    </row>
    <row r="3" spans="1:22" ht="13" x14ac:dyDescent="0.3">
      <c r="A3" s="1217"/>
    </row>
    <row r="4" spans="1:22" ht="13" x14ac:dyDescent="0.3">
      <c r="B4" s="641" t="s">
        <v>2747</v>
      </c>
      <c r="C4" s="7"/>
      <c r="D4" s="660"/>
      <c r="E4" s="660"/>
      <c r="F4" s="660"/>
    </row>
    <row r="6" spans="1:22" ht="13.5" customHeight="1" x14ac:dyDescent="0.25">
      <c r="A6" s="2664">
        <v>8.01</v>
      </c>
      <c r="B6" s="3304" t="s">
        <v>1195</v>
      </c>
      <c r="C6" s="3304"/>
      <c r="D6" s="3304"/>
      <c r="E6" s="3304"/>
      <c r="F6" s="3304"/>
      <c r="G6" s="3304"/>
      <c r="H6" s="3304"/>
      <c r="I6" s="3304"/>
      <c r="J6" s="1221"/>
      <c r="K6" s="2664">
        <f>A34+0.01</f>
        <v>8.0599999999999987</v>
      </c>
      <c r="L6" s="3300" t="s">
        <v>1196</v>
      </c>
      <c r="M6" s="3300"/>
      <c r="N6" s="3300"/>
      <c r="O6" s="3300"/>
      <c r="P6" s="3300"/>
      <c r="Q6" s="3300"/>
      <c r="R6" s="3300"/>
      <c r="S6" s="3302"/>
      <c r="T6" s="1223"/>
      <c r="U6" s="1223"/>
      <c r="V6" s="1223"/>
    </row>
    <row r="7" spans="1:22" x14ac:dyDescent="0.25">
      <c r="A7" s="1224"/>
      <c r="B7" s="3305"/>
      <c r="C7" s="3305"/>
      <c r="D7" s="3305"/>
      <c r="E7" s="3305"/>
      <c r="F7" s="3305"/>
      <c r="G7" s="3305"/>
      <c r="H7" s="3305"/>
      <c r="I7" s="3305"/>
      <c r="J7" s="1225"/>
      <c r="K7" s="1226"/>
      <c r="L7" s="3301"/>
      <c r="M7" s="3301"/>
      <c r="N7" s="3301"/>
      <c r="O7" s="3301"/>
      <c r="P7" s="3301"/>
      <c r="Q7" s="3301"/>
      <c r="R7" s="3301"/>
      <c r="S7" s="3303"/>
      <c r="T7" s="1223"/>
      <c r="U7" s="1223"/>
      <c r="V7" s="1223"/>
    </row>
    <row r="8" spans="1:22" x14ac:dyDescent="0.25">
      <c r="A8" s="1224"/>
      <c r="B8" s="1227">
        <v>1</v>
      </c>
      <c r="C8" s="1228" t="s">
        <v>1197</v>
      </c>
      <c r="D8" s="1229"/>
      <c r="E8" s="1229"/>
      <c r="F8" s="1230"/>
      <c r="G8" s="1230"/>
      <c r="H8" s="1231"/>
      <c r="I8" s="1232"/>
      <c r="J8" s="1233"/>
      <c r="K8" s="1223"/>
      <c r="L8" s="1227">
        <v>1</v>
      </c>
      <c r="M8" s="1228" t="s">
        <v>1197</v>
      </c>
      <c r="N8" s="1228"/>
      <c r="O8" s="1228"/>
      <c r="P8" s="1228"/>
      <c r="Q8" s="1228"/>
      <c r="R8" s="1232"/>
      <c r="S8" s="1234"/>
      <c r="T8" s="1223"/>
      <c r="U8" s="1223"/>
      <c r="V8" s="1223"/>
    </row>
    <row r="9" spans="1:22" ht="13.5" customHeight="1" x14ac:dyDescent="0.25">
      <c r="A9" s="1235"/>
      <c r="B9" s="1236">
        <v>2</v>
      </c>
      <c r="C9" s="1228" t="s">
        <v>1198</v>
      </c>
      <c r="D9" s="1229"/>
      <c r="E9" s="1229"/>
      <c r="F9" s="1229"/>
      <c r="G9" s="1229"/>
      <c r="H9" s="1229"/>
      <c r="I9" s="1232"/>
      <c r="J9" s="1233"/>
      <c r="K9" s="1223"/>
      <c r="L9" s="1236">
        <v>2</v>
      </c>
      <c r="M9" s="1228" t="s">
        <v>1198</v>
      </c>
      <c r="N9" s="1229"/>
      <c r="O9" s="1229"/>
      <c r="P9" s="1229"/>
      <c r="Q9" s="1229"/>
      <c r="R9" s="1232"/>
      <c r="S9" s="1234"/>
      <c r="T9" s="1237"/>
      <c r="U9" s="1237"/>
      <c r="V9" s="1238"/>
    </row>
    <row r="10" spans="1:22" x14ac:dyDescent="0.25">
      <c r="A10" s="1235"/>
      <c r="B10" s="1236">
        <v>98</v>
      </c>
      <c r="C10" s="1228" t="s">
        <v>1199</v>
      </c>
      <c r="D10" s="1229"/>
      <c r="E10" s="1229"/>
      <c r="F10" s="1229"/>
      <c r="G10" s="1229"/>
      <c r="H10" s="1229"/>
      <c r="I10" s="1232"/>
      <c r="J10" s="1233"/>
      <c r="K10" s="1223"/>
      <c r="L10" s="1236">
        <v>98</v>
      </c>
      <c r="M10" s="1228" t="s">
        <v>1199</v>
      </c>
      <c r="N10" s="1229"/>
      <c r="O10" s="1229"/>
      <c r="P10" s="1229"/>
      <c r="Q10" s="1229"/>
      <c r="R10" s="1232"/>
      <c r="S10" s="1234"/>
      <c r="T10" s="1237"/>
      <c r="U10" s="1237"/>
      <c r="V10" s="2482"/>
    </row>
    <row r="11" spans="1:22" x14ac:dyDescent="0.25">
      <c r="A11" s="1235"/>
      <c r="B11" s="1236">
        <v>99</v>
      </c>
      <c r="C11" s="1228" t="s">
        <v>632</v>
      </c>
      <c r="D11" s="1229"/>
      <c r="E11" s="1229"/>
      <c r="F11" s="1229"/>
      <c r="G11" s="1229"/>
      <c r="H11" s="1229"/>
      <c r="I11" s="1232"/>
      <c r="J11" s="1233"/>
      <c r="K11" s="1239"/>
      <c r="L11" s="1240">
        <v>99</v>
      </c>
      <c r="M11" s="1241" t="s">
        <v>632</v>
      </c>
      <c r="N11" s="1242"/>
      <c r="O11" s="1242"/>
      <c r="P11" s="1242"/>
      <c r="Q11" s="1242"/>
      <c r="R11" s="1243"/>
      <c r="S11" s="1244"/>
      <c r="T11" s="1245"/>
      <c r="U11" s="2482"/>
      <c r="V11" s="2482"/>
    </row>
    <row r="12" spans="1:22" ht="13.5" customHeight="1" x14ac:dyDescent="0.25">
      <c r="A12" s="1246"/>
      <c r="B12" s="1242"/>
      <c r="C12" s="1242"/>
      <c r="D12" s="1242"/>
      <c r="E12" s="1242"/>
      <c r="F12" s="1242"/>
      <c r="G12" s="1242"/>
      <c r="H12" s="1242"/>
      <c r="I12" s="1243"/>
      <c r="J12" s="1257"/>
      <c r="K12" s="2665">
        <f>K6+0.01</f>
        <v>8.0699999999999985</v>
      </c>
      <c r="L12" s="3300" t="s">
        <v>1200</v>
      </c>
      <c r="M12" s="3300"/>
      <c r="N12" s="3300"/>
      <c r="O12" s="3300"/>
      <c r="P12" s="3300"/>
      <c r="Q12" s="3300"/>
      <c r="R12" s="3300"/>
      <c r="S12" s="3302"/>
      <c r="T12" s="1245"/>
      <c r="U12" s="2482"/>
      <c r="V12" s="2482"/>
    </row>
    <row r="13" spans="1:22" ht="13.5" customHeight="1" x14ac:dyDescent="0.25">
      <c r="A13" s="2664">
        <f>A6+0.01</f>
        <v>8.02</v>
      </c>
      <c r="B13" s="3300" t="s">
        <v>1201</v>
      </c>
      <c r="C13" s="3300"/>
      <c r="D13" s="3300"/>
      <c r="E13" s="3300"/>
      <c r="F13" s="3300"/>
      <c r="G13" s="3300"/>
      <c r="H13" s="3300"/>
      <c r="I13" s="3300"/>
      <c r="J13" s="1256"/>
      <c r="K13" s="1224"/>
      <c r="L13" s="3301"/>
      <c r="M13" s="3301"/>
      <c r="N13" s="3301"/>
      <c r="O13" s="3301"/>
      <c r="P13" s="3301"/>
      <c r="Q13" s="3301"/>
      <c r="R13" s="3301"/>
      <c r="S13" s="3303"/>
      <c r="T13" s="1245"/>
      <c r="U13" s="2482"/>
      <c r="V13" s="2482"/>
    </row>
    <row r="14" spans="1:22" x14ac:dyDescent="0.25">
      <c r="A14" s="1224"/>
      <c r="B14" s="3301"/>
      <c r="C14" s="3301"/>
      <c r="D14" s="3301"/>
      <c r="E14" s="3301"/>
      <c r="F14" s="3301"/>
      <c r="G14" s="3301"/>
      <c r="H14" s="3301"/>
      <c r="I14" s="3301"/>
      <c r="J14" s="1256"/>
      <c r="K14" s="2666"/>
      <c r="L14" s="1227">
        <v>1</v>
      </c>
      <c r="M14" s="1228" t="s">
        <v>1197</v>
      </c>
      <c r="N14" s="1223"/>
      <c r="O14" s="1223"/>
      <c r="P14" s="1223"/>
      <c r="Q14" s="1223"/>
      <c r="R14" s="1223"/>
      <c r="S14" s="1248"/>
      <c r="T14" s="1245"/>
      <c r="U14" s="2482"/>
      <c r="V14" s="2482"/>
    </row>
    <row r="15" spans="1:22" x14ac:dyDescent="0.25">
      <c r="A15" s="1224"/>
      <c r="B15" s="1227">
        <v>1</v>
      </c>
      <c r="C15" s="1228" t="s">
        <v>1197</v>
      </c>
      <c r="D15" s="1229"/>
      <c r="E15" s="1229"/>
      <c r="F15" s="1228"/>
      <c r="G15" s="1228"/>
      <c r="H15" s="1228"/>
      <c r="I15" s="1232"/>
      <c r="J15" s="1257"/>
      <c r="K15" s="2667"/>
      <c r="L15" s="1236">
        <v>2</v>
      </c>
      <c r="M15" s="1228" t="str">
        <f>CONCATENATE("Non  ► ",K28,)</f>
        <v>Non  ► 8.08</v>
      </c>
      <c r="N15" s="1223"/>
      <c r="O15" s="1223"/>
      <c r="P15" s="1223"/>
      <c r="Q15" s="1223"/>
      <c r="R15" s="1223"/>
      <c r="S15" s="1248"/>
      <c r="T15" s="1245"/>
      <c r="U15" s="2482"/>
      <c r="V15" s="2482"/>
    </row>
    <row r="16" spans="1:22" ht="13.5" customHeight="1" x14ac:dyDescent="0.25">
      <c r="A16" s="1224"/>
      <c r="B16" s="1236">
        <v>2</v>
      </c>
      <c r="C16" s="1228" t="s">
        <v>1198</v>
      </c>
      <c r="D16" s="1229"/>
      <c r="E16" s="1229"/>
      <c r="F16" s="1228"/>
      <c r="G16" s="1228"/>
      <c r="H16" s="1228"/>
      <c r="I16" s="1232"/>
      <c r="J16" s="1257"/>
      <c r="K16" s="2667"/>
      <c r="L16" s="1236">
        <v>98</v>
      </c>
      <c r="M16" s="1228" t="str">
        <f>CONCATENATE("Ne Sait pas ► ",K28,)</f>
        <v>Ne Sait pas ► 8.08</v>
      </c>
      <c r="N16" s="1223"/>
      <c r="O16" s="1223"/>
      <c r="P16" s="1223"/>
      <c r="Q16" s="1223"/>
      <c r="R16" s="1223"/>
      <c r="S16" s="1248"/>
      <c r="T16" s="1223"/>
      <c r="U16" s="1223"/>
      <c r="V16" s="1223"/>
    </row>
    <row r="17" spans="1:22" x14ac:dyDescent="0.25">
      <c r="A17" s="1224"/>
      <c r="B17" s="1236">
        <v>98</v>
      </c>
      <c r="C17" s="1228" t="s">
        <v>1199</v>
      </c>
      <c r="D17" s="1249"/>
      <c r="E17" s="1228"/>
      <c r="F17" s="1228"/>
      <c r="G17" s="1228"/>
      <c r="H17" s="1228"/>
      <c r="I17" s="1232"/>
      <c r="J17" s="1257"/>
      <c r="K17" s="2667"/>
      <c r="L17" s="1236">
        <v>99</v>
      </c>
      <c r="M17" s="1228" t="str">
        <f>CONCATENATE("Refus ► ",K28,)</f>
        <v>Refus ► 8.08</v>
      </c>
      <c r="N17" s="1223"/>
      <c r="O17" s="1223"/>
      <c r="P17" s="1223"/>
      <c r="Q17" s="1223"/>
      <c r="R17" s="1223"/>
      <c r="S17" s="1248"/>
      <c r="T17" s="1223"/>
      <c r="U17" s="1223"/>
      <c r="V17" s="1223"/>
    </row>
    <row r="18" spans="1:22" x14ac:dyDescent="0.25">
      <c r="A18" s="1224"/>
      <c r="B18" s="1236">
        <v>99</v>
      </c>
      <c r="C18" s="1228" t="s">
        <v>632</v>
      </c>
      <c r="D18" s="1249"/>
      <c r="E18" s="1228"/>
      <c r="F18" s="1226"/>
      <c r="G18" s="1228"/>
      <c r="H18" s="1228"/>
      <c r="I18" s="1232"/>
      <c r="J18" s="1257"/>
      <c r="K18" s="2668"/>
      <c r="L18" s="1250"/>
      <c r="M18" s="1239"/>
      <c r="N18" s="1239"/>
      <c r="O18" s="1239"/>
      <c r="P18" s="1239"/>
      <c r="Q18" s="1239"/>
      <c r="R18" s="1239"/>
      <c r="S18" s="1251"/>
      <c r="T18" s="1223"/>
      <c r="U18" s="1223"/>
      <c r="V18" s="1223"/>
    </row>
    <row r="19" spans="1:22" ht="13.5" customHeight="1" x14ac:dyDescent="0.25">
      <c r="A19" s="1252"/>
      <c r="B19" s="1242"/>
      <c r="C19" s="1242"/>
      <c r="D19" s="1253"/>
      <c r="E19" s="1241"/>
      <c r="F19" s="1241"/>
      <c r="G19" s="1241"/>
      <c r="H19" s="1241"/>
      <c r="I19" s="1243"/>
      <c r="J19" s="1233"/>
      <c r="K19" s="1222" t="s">
        <v>2745</v>
      </c>
      <c r="L19" s="3300" t="s">
        <v>1202</v>
      </c>
      <c r="M19" s="3300"/>
      <c r="N19" s="3300"/>
      <c r="O19" s="3300"/>
      <c r="P19" s="3300"/>
      <c r="Q19" s="3300"/>
      <c r="R19" s="3300"/>
      <c r="S19" s="3302"/>
      <c r="T19" s="1223"/>
      <c r="U19" s="1223"/>
      <c r="V19" s="1223"/>
    </row>
    <row r="20" spans="1:22" ht="13.5" customHeight="1" x14ac:dyDescent="0.25">
      <c r="A20" s="2664">
        <f>A13+0.01</f>
        <v>8.0299999999999994</v>
      </c>
      <c r="B20" s="3300" t="s">
        <v>1203</v>
      </c>
      <c r="C20" s="3300"/>
      <c r="D20" s="3300"/>
      <c r="E20" s="3300"/>
      <c r="F20" s="3300"/>
      <c r="G20" s="3300"/>
      <c r="H20" s="3300"/>
      <c r="I20" s="3300"/>
      <c r="J20" s="1225"/>
      <c r="K20" s="1247"/>
      <c r="L20" s="3301"/>
      <c r="M20" s="3301"/>
      <c r="N20" s="3301"/>
      <c r="O20" s="3301"/>
      <c r="P20" s="3301"/>
      <c r="Q20" s="3301"/>
      <c r="R20" s="3301"/>
      <c r="S20" s="3303"/>
      <c r="T20" s="1223"/>
      <c r="U20" s="1223"/>
      <c r="V20" s="1223"/>
    </row>
    <row r="21" spans="1:22" ht="15" customHeight="1" x14ac:dyDescent="0.25">
      <c r="A21" s="1224"/>
      <c r="B21" s="3301"/>
      <c r="C21" s="3301"/>
      <c r="D21" s="3301"/>
      <c r="E21" s="3301"/>
      <c r="F21" s="3301"/>
      <c r="G21" s="3301"/>
      <c r="H21" s="3301"/>
      <c r="I21" s="3301"/>
      <c r="J21" s="1225"/>
      <c r="K21" s="1247"/>
      <c r="L21" s="3301"/>
      <c r="M21" s="3301"/>
      <c r="N21" s="3301"/>
      <c r="O21" s="3301"/>
      <c r="P21" s="3301"/>
      <c r="Q21" s="3301"/>
      <c r="R21" s="3301"/>
      <c r="S21" s="3303"/>
      <c r="T21" s="1223"/>
      <c r="U21" s="1223"/>
      <c r="V21" s="1223"/>
    </row>
    <row r="22" spans="1:22" ht="13.5" customHeight="1" x14ac:dyDescent="0.25">
      <c r="A22" s="1224"/>
      <c r="B22" s="1227">
        <v>1</v>
      </c>
      <c r="C22" s="1228" t="s">
        <v>1197</v>
      </c>
      <c r="D22" s="1229"/>
      <c r="E22" s="1229"/>
      <c r="F22" s="1228"/>
      <c r="G22" s="1228"/>
      <c r="H22" s="1228"/>
      <c r="I22" s="1232"/>
      <c r="J22" s="1233"/>
      <c r="K22" s="1247"/>
      <c r="L22" s="3301"/>
      <c r="M22" s="3301"/>
      <c r="N22" s="3301"/>
      <c r="O22" s="3301"/>
      <c r="P22" s="3301"/>
      <c r="Q22" s="3301"/>
      <c r="R22" s="3301"/>
      <c r="S22" s="3303"/>
      <c r="T22" s="1228"/>
      <c r="U22" s="3298"/>
      <c r="V22" s="3299"/>
    </row>
    <row r="23" spans="1:22" x14ac:dyDescent="0.25">
      <c r="A23" s="1224"/>
      <c r="B23" s="1236">
        <v>2</v>
      </c>
      <c r="C23" s="1228" t="s">
        <v>1198</v>
      </c>
      <c r="D23" s="1229"/>
      <c r="E23" s="1229"/>
      <c r="F23" s="1228"/>
      <c r="G23" s="1228"/>
      <c r="H23" s="1228"/>
      <c r="I23" s="1232"/>
      <c r="J23" s="1233"/>
      <c r="K23" s="1247"/>
      <c r="L23" s="1227">
        <v>1</v>
      </c>
      <c r="M23" s="1228" t="s">
        <v>1204</v>
      </c>
      <c r="N23" s="1223"/>
      <c r="O23" s="1223"/>
      <c r="P23" s="2482"/>
      <c r="Q23" s="2482"/>
      <c r="R23" s="2482"/>
      <c r="S23" s="1248"/>
      <c r="T23" s="1228"/>
      <c r="U23" s="2481"/>
      <c r="V23" s="2482"/>
    </row>
    <row r="24" spans="1:22" x14ac:dyDescent="0.25">
      <c r="A24" s="1224"/>
      <c r="B24" s="1236">
        <v>98</v>
      </c>
      <c r="C24" s="1228" t="s">
        <v>1199</v>
      </c>
      <c r="D24" s="1249"/>
      <c r="E24" s="1228"/>
      <c r="F24" s="1228"/>
      <c r="G24" s="1228"/>
      <c r="H24" s="1228"/>
      <c r="I24" s="1232"/>
      <c r="J24" s="1233"/>
      <c r="K24" s="1247"/>
      <c r="L24" s="1254">
        <v>2</v>
      </c>
      <c r="M24" s="1245" t="s">
        <v>1205</v>
      </c>
      <c r="N24" s="2482"/>
      <c r="O24" s="2482"/>
      <c r="P24" s="2482"/>
      <c r="Q24" s="2482"/>
      <c r="R24" s="2482"/>
      <c r="S24" s="1248"/>
      <c r="T24" s="1228"/>
      <c r="U24" s="2481"/>
      <c r="V24" s="2482"/>
    </row>
    <row r="25" spans="1:22" ht="13.5" customHeight="1" x14ac:dyDescent="0.25">
      <c r="A25" s="1224"/>
      <c r="B25" s="1236">
        <v>99</v>
      </c>
      <c r="C25" s="1228" t="s">
        <v>632</v>
      </c>
      <c r="D25" s="1249"/>
      <c r="E25" s="1228"/>
      <c r="F25" s="1228"/>
      <c r="G25" s="1228"/>
      <c r="H25" s="1228"/>
      <c r="I25" s="1232"/>
      <c r="J25" s="1233"/>
      <c r="K25" s="1247"/>
      <c r="L25" s="1254">
        <v>3</v>
      </c>
      <c r="M25" s="1245" t="s">
        <v>1206</v>
      </c>
      <c r="N25" s="1223"/>
      <c r="O25" s="1223"/>
      <c r="P25" s="1223"/>
      <c r="Q25" s="1223"/>
      <c r="R25" s="1223"/>
      <c r="S25" s="1248"/>
      <c r="T25" s="1223"/>
      <c r="U25" s="1223"/>
      <c r="V25" s="1223"/>
    </row>
    <row r="26" spans="1:22" ht="13.5" customHeight="1" x14ac:dyDescent="0.25">
      <c r="A26" s="1252"/>
      <c r="B26" s="1253"/>
      <c r="C26" s="1241"/>
      <c r="D26" s="1253"/>
      <c r="E26" s="1241"/>
      <c r="F26" s="1241"/>
      <c r="G26" s="1241"/>
      <c r="H26" s="1241"/>
      <c r="I26" s="1243"/>
      <c r="J26" s="1233"/>
      <c r="K26" s="1223"/>
      <c r="L26" s="1254">
        <v>98</v>
      </c>
      <c r="M26" s="1245" t="s">
        <v>1207</v>
      </c>
      <c r="N26" s="1223"/>
      <c r="O26" s="1223"/>
      <c r="P26" s="1223"/>
      <c r="Q26" s="1223"/>
      <c r="R26" s="1223"/>
      <c r="S26" s="1248"/>
      <c r="T26" s="1223"/>
      <c r="U26" s="1223"/>
      <c r="V26" s="1223"/>
    </row>
    <row r="27" spans="1:22" ht="13.5" customHeight="1" x14ac:dyDescent="0.25">
      <c r="A27" s="2664">
        <f>A20+0.01</f>
        <v>8.0399999999999991</v>
      </c>
      <c r="B27" s="3300" t="s">
        <v>1208</v>
      </c>
      <c r="C27" s="3300"/>
      <c r="D27" s="3300"/>
      <c r="E27" s="3300"/>
      <c r="F27" s="3300"/>
      <c r="G27" s="3300"/>
      <c r="H27" s="3300"/>
      <c r="I27" s="3300"/>
      <c r="J27" s="1225"/>
      <c r="K27" s="1239"/>
      <c r="L27" s="1431">
        <v>99</v>
      </c>
      <c r="M27" s="1432" t="s">
        <v>632</v>
      </c>
      <c r="N27" s="1239"/>
      <c r="O27" s="1239"/>
      <c r="P27" s="1239"/>
      <c r="Q27" s="1239"/>
      <c r="R27" s="1239"/>
      <c r="S27" s="1251"/>
      <c r="T27" s="1223"/>
      <c r="U27" s="1223"/>
      <c r="V27" s="1223"/>
    </row>
    <row r="28" spans="1:22" x14ac:dyDescent="0.25">
      <c r="A28" s="1224"/>
      <c r="B28" s="3301"/>
      <c r="C28" s="3301"/>
      <c r="D28" s="3301"/>
      <c r="E28" s="3301"/>
      <c r="F28" s="3301"/>
      <c r="G28" s="3301"/>
      <c r="H28" s="3301"/>
      <c r="I28" s="3301"/>
      <c r="J28" s="1225"/>
      <c r="K28" s="2664">
        <f>K12+0.01</f>
        <v>8.0799999999999983</v>
      </c>
      <c r="L28" s="3300" t="s">
        <v>1209</v>
      </c>
      <c r="M28" s="3300"/>
      <c r="N28" s="3300"/>
      <c r="O28" s="3300"/>
      <c r="P28" s="3300"/>
      <c r="Q28" s="3300"/>
      <c r="R28" s="3300"/>
      <c r="S28" s="3302"/>
      <c r="T28" s="1223"/>
      <c r="U28" s="1223"/>
      <c r="V28" s="1223"/>
    </row>
    <row r="29" spans="1:22" ht="13.5" customHeight="1" x14ac:dyDescent="0.25">
      <c r="A29" s="1224"/>
      <c r="B29" s="1227">
        <v>1</v>
      </c>
      <c r="C29" s="1228" t="s">
        <v>1197</v>
      </c>
      <c r="D29" s="1229"/>
      <c r="E29" s="1229"/>
      <c r="F29" s="1228"/>
      <c r="G29" s="1228"/>
      <c r="H29" s="1228"/>
      <c r="I29" s="1232"/>
      <c r="J29" s="1233"/>
      <c r="K29" s="1247"/>
      <c r="L29" s="3301"/>
      <c r="M29" s="3301"/>
      <c r="N29" s="3301"/>
      <c r="O29" s="3301"/>
      <c r="P29" s="3301"/>
      <c r="Q29" s="3301"/>
      <c r="R29" s="3301"/>
      <c r="S29" s="3303"/>
      <c r="T29" s="1223"/>
      <c r="U29" s="1223"/>
      <c r="V29" s="1223"/>
    </row>
    <row r="30" spans="1:22" x14ac:dyDescent="0.25">
      <c r="A30" s="1224"/>
      <c r="B30" s="1236">
        <v>2</v>
      </c>
      <c r="C30" s="1228" t="s">
        <v>1198</v>
      </c>
      <c r="D30" s="1229"/>
      <c r="E30" s="1229"/>
      <c r="F30" s="1228"/>
      <c r="G30" s="1228"/>
      <c r="H30" s="1228"/>
      <c r="I30" s="1232"/>
      <c r="J30" s="1233"/>
      <c r="K30" s="1247"/>
      <c r="L30" s="1227">
        <v>1</v>
      </c>
      <c r="M30" s="1228" t="s">
        <v>1197</v>
      </c>
      <c r="N30" s="2482"/>
      <c r="O30" s="2482"/>
      <c r="P30" s="2482"/>
      <c r="Q30" s="2482"/>
      <c r="R30" s="2482"/>
      <c r="S30" s="1248"/>
      <c r="T30" s="1223"/>
      <c r="U30" s="1223"/>
      <c r="V30" s="1223"/>
    </row>
    <row r="31" spans="1:22" x14ac:dyDescent="0.25">
      <c r="A31" s="1224"/>
      <c r="B31" s="1236">
        <v>98</v>
      </c>
      <c r="C31" s="1228" t="s">
        <v>1199</v>
      </c>
      <c r="D31" s="1249"/>
      <c r="E31" s="1228"/>
      <c r="F31" s="1228"/>
      <c r="G31" s="1228"/>
      <c r="H31" s="1228"/>
      <c r="I31" s="1232"/>
      <c r="J31" s="1233"/>
      <c r="K31" s="1247"/>
      <c r="L31" s="1236">
        <v>2</v>
      </c>
      <c r="M31" s="1228" t="str">
        <f>CONCATENATE("Non  ► Section Suivante")</f>
        <v>Non  ► Section Suivante</v>
      </c>
      <c r="N31" s="2482"/>
      <c r="O31" s="2482"/>
      <c r="P31" s="2482"/>
      <c r="Q31" s="2482"/>
      <c r="R31" s="2482"/>
      <c r="S31" s="1248"/>
      <c r="T31" s="1223"/>
      <c r="U31" s="1223"/>
      <c r="V31" s="1223"/>
    </row>
    <row r="32" spans="1:22" x14ac:dyDescent="0.25">
      <c r="A32" s="1224"/>
      <c r="B32" s="1236">
        <v>99</v>
      </c>
      <c r="C32" s="1228" t="s">
        <v>632</v>
      </c>
      <c r="D32" s="1249"/>
      <c r="E32" s="1228"/>
      <c r="F32" s="1228"/>
      <c r="G32" s="1228"/>
      <c r="H32" s="1228"/>
      <c r="I32" s="1232"/>
      <c r="J32" s="1233"/>
      <c r="K32" s="1247"/>
      <c r="L32" s="1236">
        <v>98</v>
      </c>
      <c r="M32" s="1228" t="str">
        <f>CONCATENATE("Ne Sait pas ► Section Suivante")</f>
        <v>Ne Sait pas ► Section Suivante</v>
      </c>
      <c r="N32" s="2482"/>
      <c r="O32" s="2482"/>
      <c r="P32" s="2482"/>
      <c r="Q32" s="2482"/>
      <c r="R32" s="2482"/>
      <c r="S32" s="1248"/>
    </row>
    <row r="33" spans="1:19" x14ac:dyDescent="0.25">
      <c r="A33" s="1224"/>
      <c r="B33" s="1249"/>
      <c r="C33" s="1228"/>
      <c r="D33" s="1249"/>
      <c r="E33" s="1228"/>
      <c r="F33" s="1228"/>
      <c r="G33" s="1228"/>
      <c r="H33" s="1228"/>
      <c r="I33" s="1232"/>
      <c r="J33" s="1233"/>
      <c r="K33" s="1247"/>
      <c r="L33" s="1236">
        <v>99</v>
      </c>
      <c r="M33" s="1228" t="str">
        <f>CONCATENATE("Refus ► Section Suivante")</f>
        <v>Refus ► Section Suivante</v>
      </c>
      <c r="N33" s="2482"/>
      <c r="O33" s="2482"/>
      <c r="P33" s="2482"/>
      <c r="Q33" s="2482"/>
      <c r="R33" s="2482"/>
      <c r="S33" s="1248"/>
    </row>
    <row r="34" spans="1:19" ht="13.5" customHeight="1" x14ac:dyDescent="0.25">
      <c r="A34" s="2664">
        <f>A27+0.01</f>
        <v>8.0499999999999989</v>
      </c>
      <c r="B34" s="3300" t="s">
        <v>1210</v>
      </c>
      <c r="C34" s="3300"/>
      <c r="D34" s="3300"/>
      <c r="E34" s="3300"/>
      <c r="F34" s="3300"/>
      <c r="G34" s="3300"/>
      <c r="H34" s="3300"/>
      <c r="I34" s="3302"/>
      <c r="J34" s="1225"/>
      <c r="K34" s="1247"/>
      <c r="L34" s="1223"/>
      <c r="M34" s="1223"/>
      <c r="N34" s="2482"/>
      <c r="O34" s="2482"/>
      <c r="P34" s="2482"/>
      <c r="Q34" s="2482"/>
      <c r="R34" s="2482"/>
      <c r="S34" s="1248"/>
    </row>
    <row r="35" spans="1:19" x14ac:dyDescent="0.25">
      <c r="A35" s="1224"/>
      <c r="B35" s="3301"/>
      <c r="C35" s="3301"/>
      <c r="D35" s="3301"/>
      <c r="E35" s="3301"/>
      <c r="F35" s="3301"/>
      <c r="G35" s="3301"/>
      <c r="H35" s="3301"/>
      <c r="I35" s="3303"/>
      <c r="J35" s="1256"/>
      <c r="K35" s="1220" t="s">
        <v>2746</v>
      </c>
      <c r="L35" s="3300" t="s">
        <v>1211</v>
      </c>
      <c r="M35" s="3300"/>
      <c r="N35" s="3300"/>
      <c r="O35" s="3300"/>
      <c r="P35" s="3300"/>
      <c r="Q35" s="3300"/>
      <c r="R35" s="3300"/>
      <c r="S35" s="3302"/>
    </row>
    <row r="36" spans="1:19" x14ac:dyDescent="0.25">
      <c r="A36" s="1224"/>
      <c r="B36" s="3301"/>
      <c r="C36" s="3301"/>
      <c r="D36" s="3301"/>
      <c r="E36" s="3301"/>
      <c r="F36" s="3301"/>
      <c r="G36" s="3301"/>
      <c r="H36" s="3301"/>
      <c r="I36" s="3303"/>
      <c r="J36" s="1257"/>
      <c r="K36" s="1224"/>
      <c r="L36" s="3301"/>
      <c r="M36" s="3301"/>
      <c r="N36" s="3301"/>
      <c r="O36" s="3301"/>
      <c r="P36" s="3301"/>
      <c r="Q36" s="3301"/>
      <c r="R36" s="3301"/>
      <c r="S36" s="3303"/>
    </row>
    <row r="37" spans="1:19" x14ac:dyDescent="0.25">
      <c r="A37" s="1235"/>
      <c r="B37" s="1227">
        <v>1</v>
      </c>
      <c r="C37" s="1228" t="s">
        <v>1197</v>
      </c>
      <c r="D37" s="1229"/>
      <c r="E37" s="1229"/>
      <c r="F37" s="1229"/>
      <c r="G37" s="1229"/>
      <c r="H37" s="1229"/>
      <c r="I37" s="1232"/>
      <c r="J37" s="1257"/>
      <c r="K37" s="1224"/>
      <c r="L37" s="3301"/>
      <c r="M37" s="3301"/>
      <c r="N37" s="3301"/>
      <c r="O37" s="3301"/>
      <c r="P37" s="3301"/>
      <c r="Q37" s="3301"/>
      <c r="R37" s="3301"/>
      <c r="S37" s="3303"/>
    </row>
    <row r="38" spans="1:19" x14ac:dyDescent="0.25">
      <c r="A38" s="1235"/>
      <c r="B38" s="1236">
        <v>2</v>
      </c>
      <c r="C38" s="1228" t="s">
        <v>1198</v>
      </c>
      <c r="D38" s="1229"/>
      <c r="E38" s="1229"/>
      <c r="F38" s="1229"/>
      <c r="G38" s="1229"/>
      <c r="H38" s="1229"/>
      <c r="I38" s="1232"/>
      <c r="J38" s="1257"/>
      <c r="K38" s="1224"/>
      <c r="L38" s="1227">
        <v>1</v>
      </c>
      <c r="M38" s="1228" t="s">
        <v>1204</v>
      </c>
      <c r="N38" s="1229"/>
      <c r="O38" s="1229"/>
      <c r="P38" s="1229"/>
      <c r="Q38" s="1229"/>
      <c r="R38" s="1229"/>
      <c r="S38" s="1234"/>
    </row>
    <row r="39" spans="1:19" x14ac:dyDescent="0.25">
      <c r="A39" s="1235"/>
      <c r="B39" s="1236">
        <v>98</v>
      </c>
      <c r="C39" s="1228" t="s">
        <v>1199</v>
      </c>
      <c r="D39" s="1229"/>
      <c r="E39" s="1229"/>
      <c r="F39" s="1229"/>
      <c r="G39" s="1229"/>
      <c r="H39" s="1229"/>
      <c r="I39" s="1232"/>
      <c r="J39" s="1257"/>
      <c r="K39" s="1224"/>
      <c r="L39" s="1254">
        <v>2</v>
      </c>
      <c r="M39" s="1245" t="s">
        <v>1205</v>
      </c>
      <c r="N39" s="1229"/>
      <c r="O39" s="1229"/>
      <c r="P39" s="1229"/>
      <c r="Q39" s="1229"/>
      <c r="R39" s="1229"/>
      <c r="S39" s="1234"/>
    </row>
    <row r="40" spans="1:19" x14ac:dyDescent="0.25">
      <c r="A40" s="1235"/>
      <c r="B40" s="1236">
        <v>99</v>
      </c>
      <c r="C40" s="1228" t="s">
        <v>632</v>
      </c>
      <c r="D40" s="1229"/>
      <c r="E40" s="1229"/>
      <c r="F40" s="1229"/>
      <c r="G40" s="1229"/>
      <c r="H40" s="1229"/>
      <c r="I40" s="1232"/>
      <c r="J40" s="1257"/>
      <c r="K40" s="1224"/>
      <c r="L40" s="1254">
        <v>3</v>
      </c>
      <c r="M40" s="1245" t="s">
        <v>1206</v>
      </c>
      <c r="N40" s="1229"/>
      <c r="O40" s="1229"/>
      <c r="P40" s="1229"/>
      <c r="Q40" s="1229"/>
      <c r="R40" s="1229"/>
      <c r="S40" s="1234"/>
    </row>
    <row r="41" spans="1:19" x14ac:dyDescent="0.25">
      <c r="A41" s="1235"/>
      <c r="B41" s="1229"/>
      <c r="C41" s="1229"/>
      <c r="D41" s="1229"/>
      <c r="E41" s="1229"/>
      <c r="F41" s="1229"/>
      <c r="G41" s="1229"/>
      <c r="H41" s="1229"/>
      <c r="I41" s="1232"/>
      <c r="J41" s="1257"/>
      <c r="K41" s="1224"/>
      <c r="L41" s="1254">
        <v>98</v>
      </c>
      <c r="M41" s="1245" t="s">
        <v>1207</v>
      </c>
      <c r="N41" s="1229"/>
      <c r="O41" s="1229"/>
      <c r="P41" s="1229"/>
      <c r="Q41" s="1229"/>
      <c r="R41" s="1223"/>
      <c r="S41" s="1234"/>
    </row>
    <row r="42" spans="1:19" x14ac:dyDescent="0.25">
      <c r="A42" s="1235"/>
      <c r="B42" s="1229"/>
      <c r="C42" s="1229"/>
      <c r="D42" s="1229"/>
      <c r="E42" s="1229"/>
      <c r="F42" s="1229"/>
      <c r="G42" s="1229"/>
      <c r="H42" s="1229"/>
      <c r="I42" s="1232"/>
      <c r="J42" s="1257"/>
      <c r="K42" s="1224"/>
      <c r="L42" s="1255">
        <v>99</v>
      </c>
      <c r="M42" s="1245" t="s">
        <v>632</v>
      </c>
      <c r="N42" s="1223"/>
      <c r="O42" s="1223"/>
      <c r="P42" s="1223"/>
      <c r="Q42" s="1223"/>
      <c r="R42" s="1223"/>
      <c r="S42" s="1234"/>
    </row>
    <row r="43" spans="1:19" x14ac:dyDescent="0.25">
      <c r="A43" s="1246"/>
      <c r="B43" s="1242"/>
      <c r="C43" s="1242"/>
      <c r="D43" s="1242"/>
      <c r="E43" s="1242"/>
      <c r="F43" s="1242"/>
      <c r="G43" s="1242"/>
      <c r="H43" s="1242"/>
      <c r="I43" s="1243"/>
      <c r="J43" s="1258"/>
      <c r="K43" s="1259"/>
      <c r="L43" s="1239"/>
      <c r="M43" s="1239"/>
      <c r="N43" s="1239"/>
      <c r="O43" s="1239"/>
      <c r="P43" s="1239"/>
      <c r="Q43" s="1239"/>
      <c r="R43" s="1239"/>
      <c r="S43" s="1244"/>
    </row>
    <row r="48" spans="1:19" ht="18" customHeight="1" x14ac:dyDescent="0.25"/>
    <row r="49" spans="2:3" ht="18" customHeight="1" x14ac:dyDescent="0.25">
      <c r="B49" s="1013"/>
      <c r="C49" s="1245"/>
    </row>
    <row r="50" spans="2:3" ht="13.5" customHeight="1" x14ac:dyDescent="0.25"/>
    <row r="51" spans="2:3" ht="24.75" customHeight="1" x14ac:dyDescent="0.25"/>
    <row r="52" spans="2:3" ht="24.75" customHeight="1" x14ac:dyDescent="0.25"/>
    <row r="53" spans="2:3" ht="24.75" customHeight="1" x14ac:dyDescent="0.25"/>
    <row r="54" spans="2:3" ht="24.75" customHeight="1" x14ac:dyDescent="0.25"/>
    <row r="55" spans="2:3" ht="24.75" customHeight="1" x14ac:dyDescent="0.25"/>
    <row r="56" spans="2:3" ht="24.75" customHeight="1" x14ac:dyDescent="0.25"/>
    <row r="57" spans="2:3" ht="24.75" customHeight="1" x14ac:dyDescent="0.25"/>
    <row r="58" spans="2:3" ht="39.75" customHeight="1" x14ac:dyDescent="0.25"/>
    <row r="59" spans="2:3" ht="24.75" customHeight="1" x14ac:dyDescent="0.25"/>
    <row r="60" spans="2:3" ht="39.75" customHeight="1" x14ac:dyDescent="0.25"/>
  </sheetData>
  <mergeCells count="11">
    <mergeCell ref="B6:I7"/>
    <mergeCell ref="L6:S7"/>
    <mergeCell ref="L12:S13"/>
    <mergeCell ref="B13:I14"/>
    <mergeCell ref="B20:I21"/>
    <mergeCell ref="L19:S22"/>
    <mergeCell ref="U22:V22"/>
    <mergeCell ref="B27:I28"/>
    <mergeCell ref="L28:S29"/>
    <mergeCell ref="L35:S37"/>
    <mergeCell ref="B34:I36"/>
  </mergeCells>
  <pageMargins left="0.314" right="0.314" top="0.11799999999999999" bottom="0.27500000000000002" header="0.157" footer="0.11799999999999999"/>
  <pageSetup scale="87" firstPageNumber="50" orientation="landscape"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0"/>
  <sheetViews>
    <sheetView zoomScale="130" zoomScaleNormal="100" zoomScaleSheetLayoutView="130" workbookViewId="0">
      <selection activeCell="D20" sqref="D20"/>
    </sheetView>
  </sheetViews>
  <sheetFormatPr defaultColWidth="8.81640625" defaultRowHeight="12.5" x14ac:dyDescent="0.25"/>
  <cols>
    <col min="1" max="1" width="5.453125" style="773" customWidth="1"/>
    <col min="2" max="2" width="24.7265625" style="773" customWidth="1"/>
    <col min="3" max="3" width="9.81640625" style="773" customWidth="1"/>
    <col min="4" max="4" width="16.1796875" style="773" customWidth="1"/>
    <col min="5" max="5" width="13.7265625" style="773" customWidth="1"/>
    <col min="6" max="6" width="26.1796875" style="773" customWidth="1"/>
    <col min="7" max="7" width="20.453125" style="773" customWidth="1"/>
    <col min="8" max="8" width="17.1796875" style="773" customWidth="1"/>
  </cols>
  <sheetData>
    <row r="1" spans="1:8" ht="13" x14ac:dyDescent="0.3">
      <c r="A1" s="771" t="s">
        <v>1212</v>
      </c>
      <c r="B1" s="772"/>
      <c r="C1" s="772"/>
      <c r="D1" s="772"/>
      <c r="E1" s="772"/>
      <c r="F1" s="772"/>
      <c r="G1" s="772"/>
      <c r="H1" s="772"/>
    </row>
    <row r="2" spans="1:8" ht="20" x14ac:dyDescent="0.25">
      <c r="A2" s="398" t="s">
        <v>1213</v>
      </c>
      <c r="C2" s="774"/>
      <c r="D2" s="774"/>
      <c r="E2" s="638"/>
      <c r="F2" s="638"/>
      <c r="H2" s="774"/>
    </row>
    <row r="3" spans="1:8" ht="20" x14ac:dyDescent="0.3">
      <c r="A3" s="641" t="s">
        <v>1214</v>
      </c>
      <c r="B3" s="7" t="s">
        <v>1215</v>
      </c>
      <c r="C3" s="774"/>
      <c r="D3" s="774"/>
      <c r="E3" s="638"/>
      <c r="F3" s="638"/>
      <c r="H3" s="774"/>
    </row>
    <row r="4" spans="1:8" ht="15.5" x14ac:dyDescent="0.25">
      <c r="A4" s="10"/>
      <c r="B4" s="638"/>
      <c r="C4" s="775"/>
      <c r="D4" s="775"/>
      <c r="E4" s="775"/>
      <c r="F4" s="775"/>
      <c r="G4" s="776"/>
      <c r="H4" s="10"/>
    </row>
    <row r="5" spans="1:8" x14ac:dyDescent="0.25">
      <c r="A5" s="777" t="s">
        <v>1216</v>
      </c>
      <c r="B5" s="778"/>
      <c r="C5" s="777" t="s">
        <v>1217</v>
      </c>
      <c r="D5" s="779" t="s">
        <v>1218</v>
      </c>
      <c r="E5" s="777" t="s">
        <v>1219</v>
      </c>
      <c r="F5" s="777" t="s">
        <v>1220</v>
      </c>
      <c r="G5" s="777" t="s">
        <v>1221</v>
      </c>
      <c r="H5" s="777" t="s">
        <v>1222</v>
      </c>
    </row>
    <row r="6" spans="1:8" ht="12.75" customHeight="1" x14ac:dyDescent="0.25">
      <c r="A6" s="3309" t="s">
        <v>1223</v>
      </c>
      <c r="B6" s="3307" t="s">
        <v>1224</v>
      </c>
      <c r="C6" s="3241"/>
      <c r="D6" s="3220" t="s">
        <v>1225</v>
      </c>
      <c r="E6" s="3220" t="s">
        <v>1226</v>
      </c>
      <c r="F6" s="3220" t="s">
        <v>1227</v>
      </c>
      <c r="G6" s="3220" t="s">
        <v>1228</v>
      </c>
      <c r="H6" s="3220" t="s">
        <v>1229</v>
      </c>
    </row>
    <row r="7" spans="1:8" ht="12.75" customHeight="1" x14ac:dyDescent="0.25">
      <c r="A7" s="3310"/>
      <c r="B7" s="3306"/>
      <c r="C7" s="2852"/>
      <c r="D7" s="2782"/>
      <c r="E7" s="2782"/>
      <c r="F7" s="2782"/>
      <c r="G7" s="2782"/>
      <c r="H7" s="2782"/>
    </row>
    <row r="8" spans="1:8" ht="17.25" customHeight="1" x14ac:dyDescent="0.25">
      <c r="A8" s="3310"/>
      <c r="B8" s="3308"/>
      <c r="C8" s="3274"/>
      <c r="D8" s="2843"/>
      <c r="E8" s="2843"/>
      <c r="F8" s="2843"/>
      <c r="G8" s="2843"/>
      <c r="H8" s="2843"/>
    </row>
    <row r="9" spans="1:8" ht="17.25" customHeight="1" x14ac:dyDescent="0.25">
      <c r="A9" s="3310"/>
      <c r="B9" s="3306" t="s">
        <v>1230</v>
      </c>
      <c r="C9" s="2852"/>
      <c r="D9" s="2346"/>
      <c r="E9" s="2365"/>
      <c r="F9" s="2365"/>
      <c r="G9" s="2365"/>
      <c r="H9" s="2365"/>
    </row>
    <row r="10" spans="1:8" ht="17.25" customHeight="1" x14ac:dyDescent="0.25">
      <c r="A10" s="3310"/>
      <c r="B10" s="3306" t="s">
        <v>1231</v>
      </c>
      <c r="C10" s="2852"/>
      <c r="D10" s="2346"/>
      <c r="E10" s="2365"/>
      <c r="F10" s="2365"/>
      <c r="G10" s="2365"/>
      <c r="H10" s="2365"/>
    </row>
    <row r="11" spans="1:8" x14ac:dyDescent="0.25">
      <c r="A11" s="3310"/>
      <c r="B11" s="3312" t="s">
        <v>1232</v>
      </c>
      <c r="C11" s="3313"/>
      <c r="D11" s="3316" t="s">
        <v>519</v>
      </c>
      <c r="E11" s="3318" t="s">
        <v>519</v>
      </c>
      <c r="F11" s="3318" t="s">
        <v>519</v>
      </c>
      <c r="G11" s="3318" t="s">
        <v>519</v>
      </c>
      <c r="H11" s="3318" t="s">
        <v>519</v>
      </c>
    </row>
    <row r="12" spans="1:8" x14ac:dyDescent="0.25">
      <c r="A12" s="3310"/>
      <c r="B12" s="3312"/>
      <c r="C12" s="3313"/>
      <c r="D12" s="3316"/>
      <c r="E12" s="3318"/>
      <c r="F12" s="3318"/>
      <c r="G12" s="3318"/>
      <c r="H12" s="3318"/>
    </row>
    <row r="13" spans="1:8" x14ac:dyDescent="0.25">
      <c r="A13" s="3310"/>
      <c r="B13" s="3312"/>
      <c r="C13" s="3313"/>
      <c r="D13" s="3316"/>
      <c r="E13" s="3318"/>
      <c r="F13" s="3318"/>
      <c r="G13" s="3318"/>
      <c r="H13" s="3318"/>
    </row>
    <row r="14" spans="1:8" ht="15" customHeight="1" thickBot="1" x14ac:dyDescent="0.3">
      <c r="A14" s="3311"/>
      <c r="B14" s="3314"/>
      <c r="C14" s="3315"/>
      <c r="D14" s="3317"/>
      <c r="E14" s="3319"/>
      <c r="F14" s="3319"/>
      <c r="G14" s="3319"/>
      <c r="H14" s="3319"/>
    </row>
    <row r="15" spans="1:8" ht="20.25" customHeight="1" thickTop="1" x14ac:dyDescent="0.35">
      <c r="A15" s="780" t="s">
        <v>680</v>
      </c>
      <c r="B15" s="781" t="s">
        <v>1233</v>
      </c>
      <c r="C15" s="782"/>
      <c r="D15" s="783"/>
      <c r="E15" s="784"/>
      <c r="F15" s="784"/>
      <c r="G15" s="784"/>
      <c r="H15" s="784"/>
    </row>
    <row r="16" spans="1:8" ht="20.25" customHeight="1" x14ac:dyDescent="0.35">
      <c r="A16" s="785" t="s">
        <v>681</v>
      </c>
      <c r="B16" s="781" t="s">
        <v>1234</v>
      </c>
      <c r="C16" s="786"/>
      <c r="D16" s="783"/>
      <c r="E16" s="784"/>
      <c r="F16" s="784"/>
      <c r="G16" s="784"/>
      <c r="H16" s="784"/>
    </row>
    <row r="17" spans="1:8" ht="20.25" customHeight="1" x14ac:dyDescent="0.35">
      <c r="A17" s="780" t="s">
        <v>1235</v>
      </c>
      <c r="B17" s="781" t="s">
        <v>1236</v>
      </c>
      <c r="C17" s="786"/>
      <c r="D17" s="783"/>
      <c r="E17" s="784"/>
      <c r="F17" s="784"/>
      <c r="G17" s="784"/>
      <c r="H17" s="784"/>
    </row>
    <row r="18" spans="1:8" ht="20.25" customHeight="1" x14ac:dyDescent="0.35">
      <c r="A18" s="785" t="s">
        <v>1237</v>
      </c>
      <c r="B18" s="787" t="s">
        <v>1238</v>
      </c>
      <c r="C18" s="786"/>
      <c r="D18" s="788"/>
      <c r="E18" s="789"/>
      <c r="F18" s="789"/>
      <c r="G18" s="789"/>
      <c r="H18" s="789"/>
    </row>
    <row r="19" spans="1:8" ht="20.25" customHeight="1" x14ac:dyDescent="0.35">
      <c r="A19" s="780" t="s">
        <v>1239</v>
      </c>
      <c r="B19" s="787" t="s">
        <v>1240</v>
      </c>
      <c r="C19" s="786"/>
      <c r="D19" s="788"/>
      <c r="E19" s="789"/>
      <c r="F19" s="789"/>
      <c r="G19" s="789"/>
      <c r="H19" s="789"/>
    </row>
    <row r="20" spans="1:8" ht="20.25" customHeight="1" x14ac:dyDescent="0.35">
      <c r="A20" s="785" t="s">
        <v>1241</v>
      </c>
      <c r="B20" s="787" t="s">
        <v>1242</v>
      </c>
      <c r="C20" s="786"/>
      <c r="D20" s="788"/>
      <c r="E20" s="789"/>
      <c r="F20" s="789"/>
      <c r="G20" s="789"/>
      <c r="H20" s="789"/>
    </row>
    <row r="21" spans="1:8" ht="20.25" customHeight="1" x14ac:dyDescent="0.35">
      <c r="A21" s="780" t="s">
        <v>1243</v>
      </c>
      <c r="B21" s="787" t="s">
        <v>1244</v>
      </c>
      <c r="C21" s="786"/>
      <c r="D21" s="788"/>
      <c r="E21" s="789"/>
      <c r="F21" s="789"/>
      <c r="G21" s="789"/>
      <c r="H21" s="789"/>
    </row>
    <row r="22" spans="1:8" ht="20.25" customHeight="1" x14ac:dyDescent="0.35">
      <c r="A22" s="785" t="s">
        <v>1245</v>
      </c>
      <c r="B22" s="787" t="s">
        <v>1246</v>
      </c>
      <c r="C22" s="786"/>
      <c r="D22" s="788"/>
      <c r="E22" s="789"/>
      <c r="F22" s="789"/>
      <c r="G22" s="789"/>
      <c r="H22" s="789"/>
    </row>
    <row r="23" spans="1:8" ht="20.25" customHeight="1" x14ac:dyDescent="0.35">
      <c r="A23" s="780" t="s">
        <v>1247</v>
      </c>
      <c r="B23" s="787" t="s">
        <v>1248</v>
      </c>
      <c r="C23" s="786"/>
      <c r="D23" s="788"/>
      <c r="E23" s="789"/>
      <c r="F23" s="789"/>
      <c r="G23" s="789"/>
      <c r="H23" s="789"/>
    </row>
    <row r="24" spans="1:8" ht="20.25" customHeight="1" x14ac:dyDescent="0.35">
      <c r="A24" s="785" t="s">
        <v>1249</v>
      </c>
      <c r="B24" s="787" t="s">
        <v>1250</v>
      </c>
      <c r="C24" s="786"/>
      <c r="D24" s="788"/>
      <c r="E24" s="789"/>
      <c r="F24" s="789"/>
      <c r="G24" s="789"/>
      <c r="H24" s="789"/>
    </row>
    <row r="25" spans="1:8" ht="20.25" customHeight="1" x14ac:dyDescent="0.35">
      <c r="A25" s="785" t="s">
        <v>1251</v>
      </c>
      <c r="B25" s="787" t="s">
        <v>1252</v>
      </c>
      <c r="C25" s="786"/>
      <c r="D25" s="788"/>
      <c r="E25" s="789"/>
      <c r="F25" s="789"/>
      <c r="G25" s="789"/>
      <c r="H25" s="789"/>
    </row>
    <row r="26" spans="1:8" ht="20.25" customHeight="1" x14ac:dyDescent="0.35">
      <c r="A26" s="785" t="s">
        <v>1253</v>
      </c>
      <c r="B26" s="787" t="s">
        <v>1254</v>
      </c>
      <c r="C26" s="786"/>
      <c r="D26" s="788"/>
      <c r="E26" s="789"/>
      <c r="F26" s="789"/>
      <c r="G26" s="789"/>
      <c r="H26" s="789"/>
    </row>
    <row r="27" spans="1:8" ht="20.25" customHeight="1" x14ac:dyDescent="0.35">
      <c r="A27" s="785" t="s">
        <v>1255</v>
      </c>
      <c r="B27" s="787" t="s">
        <v>1256</v>
      </c>
      <c r="C27" s="786"/>
      <c r="D27" s="788"/>
      <c r="E27" s="789"/>
      <c r="F27" s="789"/>
      <c r="G27" s="789"/>
      <c r="H27" s="789"/>
    </row>
    <row r="28" spans="1:8" ht="20.25" customHeight="1" x14ac:dyDescent="0.25"/>
    <row r="29" spans="1:8" ht="20.25" customHeight="1" x14ac:dyDescent="0.25"/>
    <row r="30" spans="1:8" ht="20.25" customHeight="1" x14ac:dyDescent="0.25"/>
    <row r="31" spans="1:8" ht="20.25" customHeight="1" x14ac:dyDescent="0.25"/>
    <row r="32" spans="1:8" ht="20.25" customHeight="1" x14ac:dyDescent="0.25"/>
    <row r="33" ht="20.25" customHeight="1" x14ac:dyDescent="0.25"/>
    <row r="34" ht="20.25" customHeight="1" x14ac:dyDescent="0.25"/>
    <row r="35" ht="20.25" customHeight="1" x14ac:dyDescent="0.25"/>
    <row r="36" ht="20.25" customHeight="1" x14ac:dyDescent="0.25"/>
    <row r="37" ht="20.25" customHeight="1" x14ac:dyDescent="0.25"/>
    <row r="38" ht="20.25" customHeight="1" x14ac:dyDescent="0.25"/>
    <row r="39" ht="20.25" customHeight="1" x14ac:dyDescent="0.25"/>
    <row r="40" ht="20.25" customHeight="1" x14ac:dyDescent="0.25"/>
    <row r="41" ht="20.25" customHeight="1" x14ac:dyDescent="0.25"/>
    <row r="42" ht="17.25" customHeight="1" x14ac:dyDescent="0.25"/>
    <row r="43" ht="20.25" customHeight="1" x14ac:dyDescent="0.25"/>
    <row r="44" ht="20.25" customHeight="1" x14ac:dyDescent="0.25"/>
    <row r="45" ht="27" customHeight="1" x14ac:dyDescent="0.25"/>
    <row r="46" ht="20.25" customHeight="1" x14ac:dyDescent="0.25"/>
    <row r="47" ht="20.25" customHeight="1" x14ac:dyDescent="0.25"/>
    <row r="48" ht="20.25" customHeight="1" x14ac:dyDescent="0.25"/>
    <row r="49" ht="20.25" customHeight="1" x14ac:dyDescent="0.25"/>
    <row r="50" ht="20.25" customHeight="1" x14ac:dyDescent="0.25"/>
    <row r="51" ht="20.25" customHeight="1" x14ac:dyDescent="0.25"/>
    <row r="52" ht="20.25" customHeight="1" x14ac:dyDescent="0.25"/>
    <row r="53" ht="20.25" customHeight="1" x14ac:dyDescent="0.25"/>
    <row r="54" ht="20.25" customHeight="1" x14ac:dyDescent="0.25"/>
    <row r="55" ht="25.5" customHeight="1" x14ac:dyDescent="0.25"/>
    <row r="56" ht="20.25" customHeight="1" x14ac:dyDescent="0.25"/>
    <row r="57" ht="27.75" customHeight="1" x14ac:dyDescent="0.25"/>
    <row r="58" ht="20.25" customHeight="1" x14ac:dyDescent="0.25"/>
    <row r="59" ht="20.25" customHeight="1" x14ac:dyDescent="0.25"/>
    <row r="60" ht="20.25" customHeight="1" x14ac:dyDescent="0.25"/>
  </sheetData>
  <mergeCells count="15">
    <mergeCell ref="G11:G14"/>
    <mergeCell ref="H11:H14"/>
    <mergeCell ref="E11:E14"/>
    <mergeCell ref="G6:G8"/>
    <mergeCell ref="H6:H8"/>
    <mergeCell ref="E6:E8"/>
    <mergeCell ref="F6:F8"/>
    <mergeCell ref="F11:F14"/>
    <mergeCell ref="B9:C9"/>
    <mergeCell ref="B10:C10"/>
    <mergeCell ref="B6:C8"/>
    <mergeCell ref="D6:D8"/>
    <mergeCell ref="A6:A14"/>
    <mergeCell ref="B11:C14"/>
    <mergeCell ref="D11:D14"/>
  </mergeCells>
  <pageMargins left="0.314" right="0.314" top="0.11799999999999999" bottom="0.27500000000000002" header="0.157" footer="0.11799999999999999"/>
  <pageSetup scale="90" firstPageNumber="57" orientation="landscape" r:id="rId1"/>
  <headerFooter>
    <oddFooter>&amp;C&amp;P</oddFooter>
  </headerFooter>
  <rowBreaks count="1" manualBreakCount="1">
    <brk id="39"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33"/>
  <sheetViews>
    <sheetView zoomScale="130" zoomScaleNormal="130" zoomScaleSheetLayoutView="130" zoomScalePageLayoutView="110" workbookViewId="0">
      <selection activeCell="A28" sqref="A28:XFD28"/>
    </sheetView>
  </sheetViews>
  <sheetFormatPr defaultColWidth="9.1796875" defaultRowHeight="12.5" x14ac:dyDescent="0.25"/>
  <cols>
    <col min="1" max="1" width="8.453125" style="10" customWidth="1"/>
    <col min="2" max="2" width="71.1796875" style="10" customWidth="1"/>
    <col min="3" max="3" width="22.453125" style="10" customWidth="1"/>
    <col min="4" max="4" width="33.1796875" style="10" customWidth="1"/>
    <col min="5" max="16384" width="9.1796875" style="10"/>
  </cols>
  <sheetData>
    <row r="1" spans="1:5" ht="13" x14ac:dyDescent="0.3">
      <c r="A1" s="637" t="s">
        <v>1257</v>
      </c>
      <c r="B1" s="3"/>
      <c r="C1" s="3"/>
      <c r="D1" s="1642"/>
    </row>
    <row r="2" spans="1:5" ht="13" x14ac:dyDescent="0.3">
      <c r="A2" s="398" t="s">
        <v>1258</v>
      </c>
      <c r="B2" s="3"/>
      <c r="C2" s="3"/>
      <c r="D2" s="1642"/>
    </row>
    <row r="3" spans="1:5" ht="13" x14ac:dyDescent="0.3">
      <c r="A3" s="398"/>
      <c r="B3" s="3"/>
      <c r="C3" s="1642"/>
      <c r="D3" s="1642"/>
    </row>
    <row r="4" spans="1:5" ht="13" x14ac:dyDescent="0.3">
      <c r="C4" s="7"/>
      <c r="D4" s="7"/>
    </row>
    <row r="5" spans="1:5" ht="13" x14ac:dyDescent="0.3">
      <c r="A5" s="641"/>
      <c r="B5" s="7"/>
      <c r="C5" s="640"/>
      <c r="D5" s="7"/>
    </row>
    <row r="6" spans="1:5" ht="13" x14ac:dyDescent="0.3">
      <c r="A6" s="645" t="s">
        <v>1259</v>
      </c>
      <c r="B6" s="872"/>
      <c r="C6" s="647" t="s">
        <v>1260</v>
      </c>
      <c r="D6" s="647" t="s">
        <v>1261</v>
      </c>
    </row>
    <row r="7" spans="1:5" x14ac:dyDescent="0.25">
      <c r="A7" s="3320" t="s">
        <v>1262</v>
      </c>
      <c r="B7" s="3324" t="s">
        <v>1263</v>
      </c>
      <c r="C7" s="3240" t="s">
        <v>1264</v>
      </c>
      <c r="D7" s="3220" t="s">
        <v>1265</v>
      </c>
    </row>
    <row r="8" spans="1:5" x14ac:dyDescent="0.25">
      <c r="A8" s="3321"/>
      <c r="B8" s="3325"/>
      <c r="C8" s="3328"/>
      <c r="D8" s="3330"/>
    </row>
    <row r="9" spans="1:5" x14ac:dyDescent="0.25">
      <c r="A9" s="3321"/>
      <c r="B9" s="3325"/>
      <c r="C9" s="3329"/>
      <c r="D9" s="3331"/>
    </row>
    <row r="10" spans="1:5" x14ac:dyDescent="0.25">
      <c r="A10" s="3321"/>
      <c r="B10" s="3325"/>
      <c r="C10" s="1122" t="s">
        <v>920</v>
      </c>
      <c r="D10" s="3332" t="s">
        <v>1266</v>
      </c>
    </row>
    <row r="11" spans="1:5" x14ac:dyDescent="0.25">
      <c r="A11" s="3322"/>
      <c r="B11" s="3326"/>
      <c r="C11" s="2486" t="s">
        <v>1267</v>
      </c>
      <c r="D11" s="3316"/>
    </row>
    <row r="12" spans="1:5" ht="13" thickBot="1" x14ac:dyDescent="0.3">
      <c r="A12" s="3323"/>
      <c r="B12" s="3327"/>
      <c r="C12" s="648" t="s">
        <v>346</v>
      </c>
      <c r="D12" s="3333"/>
    </row>
    <row r="13" spans="1:5" ht="25" customHeight="1" thickTop="1" x14ac:dyDescent="0.25">
      <c r="A13" s="1126">
        <v>201</v>
      </c>
      <c r="B13" s="1125" t="s">
        <v>1268</v>
      </c>
      <c r="C13" s="943"/>
      <c r="D13" s="1643"/>
    </row>
    <row r="14" spans="1:5" ht="25" customHeight="1" x14ac:dyDescent="0.25">
      <c r="A14" s="1126">
        <f>A13+1</f>
        <v>202</v>
      </c>
      <c r="B14" s="880" t="s">
        <v>1269</v>
      </c>
      <c r="C14" s="649"/>
      <c r="D14" s="142"/>
      <c r="E14" s="1644"/>
    </row>
    <row r="15" spans="1:5" ht="25" customHeight="1" x14ac:dyDescent="0.25">
      <c r="A15" s="1126">
        <f t="shared" ref="A15:A29" si="0">A14+1</f>
        <v>203</v>
      </c>
      <c r="B15" s="880" t="s">
        <v>1270</v>
      </c>
      <c r="C15" s="649"/>
      <c r="D15" s="142"/>
    </row>
    <row r="16" spans="1:5" ht="25" customHeight="1" x14ac:dyDescent="0.25">
      <c r="A16" s="1126">
        <f t="shared" si="0"/>
        <v>204</v>
      </c>
      <c r="B16" s="880" t="s">
        <v>1271</v>
      </c>
      <c r="C16" s="649"/>
      <c r="D16" s="142"/>
    </row>
    <row r="17" spans="1:5" ht="25" customHeight="1" x14ac:dyDescent="0.25">
      <c r="A17" s="1126">
        <f t="shared" si="0"/>
        <v>205</v>
      </c>
      <c r="B17" s="880" t="s">
        <v>1272</v>
      </c>
      <c r="C17" s="649"/>
      <c r="D17" s="142"/>
    </row>
    <row r="18" spans="1:5" ht="25" customHeight="1" x14ac:dyDescent="0.25">
      <c r="A18" s="1126">
        <f t="shared" si="0"/>
        <v>206</v>
      </c>
      <c r="B18" s="880" t="s">
        <v>1273</v>
      </c>
      <c r="C18" s="649"/>
      <c r="D18" s="142"/>
      <c r="E18" s="1644"/>
    </row>
    <row r="19" spans="1:5" ht="25" customHeight="1" x14ac:dyDescent="0.25">
      <c r="A19" s="1126">
        <f t="shared" si="0"/>
        <v>207</v>
      </c>
      <c r="B19" s="880" t="s">
        <v>1274</v>
      </c>
      <c r="C19" s="142"/>
      <c r="D19" s="1187"/>
      <c r="E19" s="1644"/>
    </row>
    <row r="20" spans="1:5" ht="25" customHeight="1" x14ac:dyDescent="0.25">
      <c r="A20" s="1126">
        <f t="shared" si="0"/>
        <v>208</v>
      </c>
      <c r="B20" s="880" t="s">
        <v>1275</v>
      </c>
      <c r="C20" s="649"/>
      <c r="D20" s="142"/>
      <c r="E20" s="1644"/>
    </row>
    <row r="21" spans="1:5" ht="25" customHeight="1" x14ac:dyDescent="0.25">
      <c r="A21" s="1126">
        <f t="shared" si="0"/>
        <v>209</v>
      </c>
      <c r="B21" s="880" t="s">
        <v>1276</v>
      </c>
      <c r="C21" s="649"/>
      <c r="D21" s="142"/>
      <c r="E21" s="1644"/>
    </row>
    <row r="22" spans="1:5" ht="25" customHeight="1" x14ac:dyDescent="0.25">
      <c r="A22" s="1126">
        <f t="shared" si="0"/>
        <v>210</v>
      </c>
      <c r="B22" s="880" t="s">
        <v>1277</v>
      </c>
      <c r="C22" s="649"/>
      <c r="D22" s="142"/>
      <c r="E22" s="1644"/>
    </row>
    <row r="23" spans="1:5" ht="25" customHeight="1" x14ac:dyDescent="0.25">
      <c r="A23" s="1126">
        <f t="shared" si="0"/>
        <v>211</v>
      </c>
      <c r="B23" s="880" t="s">
        <v>1278</v>
      </c>
      <c r="C23" s="649"/>
      <c r="D23" s="142"/>
      <c r="E23" s="1644"/>
    </row>
    <row r="24" spans="1:5" ht="25" customHeight="1" x14ac:dyDescent="0.25">
      <c r="A24" s="1126">
        <f t="shared" si="0"/>
        <v>212</v>
      </c>
      <c r="B24" s="880" t="s">
        <v>1279</v>
      </c>
      <c r="C24" s="649"/>
      <c r="D24" s="142"/>
      <c r="E24" s="1644"/>
    </row>
    <row r="25" spans="1:5" ht="25" customHeight="1" x14ac:dyDescent="0.25">
      <c r="A25" s="1126">
        <f t="shared" si="0"/>
        <v>213</v>
      </c>
      <c r="B25" s="880" t="s">
        <v>1280</v>
      </c>
      <c r="C25" s="649"/>
      <c r="D25" s="142"/>
      <c r="E25" s="1644"/>
    </row>
    <row r="26" spans="1:5" ht="25" customHeight="1" x14ac:dyDescent="0.25">
      <c r="A26" s="1126">
        <f t="shared" si="0"/>
        <v>214</v>
      </c>
      <c r="B26" s="880" t="s">
        <v>1281</v>
      </c>
      <c r="C26" s="649"/>
      <c r="D26" s="142"/>
      <c r="E26" s="1644"/>
    </row>
    <row r="27" spans="1:5" ht="25" customHeight="1" x14ac:dyDescent="0.25">
      <c r="A27" s="1126">
        <f t="shared" si="0"/>
        <v>215</v>
      </c>
      <c r="B27" s="880" t="s">
        <v>1282</v>
      </c>
      <c r="C27" s="649"/>
      <c r="D27" s="142"/>
      <c r="E27" s="1644"/>
    </row>
    <row r="28" spans="1:5" ht="25" customHeight="1" x14ac:dyDescent="0.25">
      <c r="A28" s="1126">
        <f>A27+1</f>
        <v>216</v>
      </c>
      <c r="B28" s="873" t="s">
        <v>1283</v>
      </c>
      <c r="C28" s="1186"/>
      <c r="D28" s="1645"/>
    </row>
    <row r="29" spans="1:5" ht="25" customHeight="1" x14ac:dyDescent="0.25">
      <c r="A29" s="1126">
        <f t="shared" si="0"/>
        <v>217</v>
      </c>
      <c r="B29" s="1147" t="s">
        <v>1284</v>
      </c>
      <c r="C29" s="1646"/>
      <c r="D29" s="142"/>
      <c r="E29" s="1644"/>
    </row>
    <row r="30" spans="1:5" x14ac:dyDescent="0.25">
      <c r="B30" s="340"/>
      <c r="C30" s="1021"/>
    </row>
    <row r="31" spans="1:5" x14ac:dyDescent="0.25">
      <c r="B31" s="340"/>
      <c r="C31" s="1021"/>
    </row>
    <row r="32" spans="1:5" x14ac:dyDescent="0.25">
      <c r="B32" s="340"/>
      <c r="C32" s="1021"/>
    </row>
    <row r="33" spans="2:3" x14ac:dyDescent="0.25">
      <c r="B33" s="340"/>
      <c r="C33" s="1021"/>
    </row>
  </sheetData>
  <mergeCells count="5">
    <mergeCell ref="A7:A12"/>
    <mergeCell ref="B7:B12"/>
    <mergeCell ref="C7:C9"/>
    <mergeCell ref="D7:D9"/>
    <mergeCell ref="D10:D12"/>
  </mergeCells>
  <pageMargins left="0.314" right="0.314" top="0.11799999999999999" bottom="0.27500000000000002" header="0.157" footer="0.11799999999999999"/>
  <pageSetup scale="89" firstPageNumber="51" orientation="landscape"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9"/>
  <sheetViews>
    <sheetView zoomScale="120" zoomScaleNormal="80" zoomScaleSheetLayoutView="120" workbookViewId="0">
      <selection activeCell="B28" sqref="B28"/>
    </sheetView>
  </sheetViews>
  <sheetFormatPr defaultColWidth="9.1796875" defaultRowHeight="12.5" x14ac:dyDescent="0.25"/>
  <cols>
    <col min="1" max="1" width="8.453125" style="10" customWidth="1"/>
    <col min="2" max="2" width="84" style="10" customWidth="1"/>
    <col min="3" max="4" width="20.453125" style="10" customWidth="1"/>
    <col min="5" max="16384" width="9.1796875" style="10"/>
  </cols>
  <sheetData>
    <row r="1" spans="1:5" ht="13" x14ac:dyDescent="0.3">
      <c r="A1" s="637" t="s">
        <v>1285</v>
      </c>
      <c r="B1" s="3"/>
      <c r="C1" s="3"/>
      <c r="D1" s="1642"/>
    </row>
    <row r="2" spans="1:5" ht="13" x14ac:dyDescent="0.3">
      <c r="A2" s="398" t="s">
        <v>1286</v>
      </c>
      <c r="C2" s="3"/>
      <c r="D2" s="3"/>
    </row>
    <row r="3" spans="1:5" ht="15.75" customHeight="1" x14ac:dyDescent="0.3">
      <c r="A3" s="398"/>
      <c r="C3" s="3"/>
      <c r="D3" s="3"/>
    </row>
    <row r="4" spans="1:5" ht="13" x14ac:dyDescent="0.3">
      <c r="A4" s="645" t="s">
        <v>1287</v>
      </c>
      <c r="B4" s="872"/>
      <c r="C4" s="647" t="s">
        <v>1288</v>
      </c>
      <c r="D4" s="647" t="s">
        <v>1289</v>
      </c>
    </row>
    <row r="5" spans="1:5" x14ac:dyDescent="0.25">
      <c r="A5" s="3320" t="s">
        <v>1262</v>
      </c>
      <c r="B5" s="3335" t="s">
        <v>1263</v>
      </c>
      <c r="C5" s="3220" t="s">
        <v>1290</v>
      </c>
      <c r="D5" s="3220" t="s">
        <v>1291</v>
      </c>
    </row>
    <row r="6" spans="1:5" x14ac:dyDescent="0.25">
      <c r="A6" s="3321"/>
      <c r="B6" s="3139"/>
      <c r="C6" s="3330"/>
      <c r="D6" s="3330"/>
    </row>
    <row r="7" spans="1:5" x14ac:dyDescent="0.25">
      <c r="A7" s="3321"/>
      <c r="B7" s="3139"/>
      <c r="C7" s="3331"/>
      <c r="D7" s="3331"/>
    </row>
    <row r="8" spans="1:5" x14ac:dyDescent="0.25">
      <c r="A8" s="3321"/>
      <c r="B8" s="3139"/>
      <c r="C8" s="1122" t="s">
        <v>920</v>
      </c>
      <c r="D8" s="3316" t="s">
        <v>1266</v>
      </c>
    </row>
    <row r="9" spans="1:5" x14ac:dyDescent="0.25">
      <c r="A9" s="3321"/>
      <c r="B9" s="3139"/>
      <c r="C9" s="3338" t="s">
        <v>1292</v>
      </c>
      <c r="D9" s="3337"/>
    </row>
    <row r="10" spans="1:5" x14ac:dyDescent="0.25">
      <c r="A10" s="3321"/>
      <c r="B10" s="3139"/>
      <c r="C10" s="3339"/>
      <c r="D10" s="3337"/>
    </row>
    <row r="11" spans="1:5" ht="13" thickBot="1" x14ac:dyDescent="0.3">
      <c r="A11" s="3334"/>
      <c r="B11" s="3336"/>
      <c r="C11" s="651" t="s">
        <v>346</v>
      </c>
      <c r="D11" s="3333"/>
    </row>
    <row r="12" spans="1:5" s="1647" customFormat="1" ht="19" customHeight="1" thickTop="1" x14ac:dyDescent="0.2">
      <c r="A12" s="1146">
        <v>301</v>
      </c>
      <c r="B12" s="1180" t="s">
        <v>1293</v>
      </c>
      <c r="C12" s="665"/>
      <c r="D12" s="2485"/>
      <c r="E12" s="1644"/>
    </row>
    <row r="13" spans="1:5" s="1647" customFormat="1" ht="19" customHeight="1" x14ac:dyDescent="0.2">
      <c r="A13" s="1146">
        <f>A12+1</f>
        <v>302</v>
      </c>
      <c r="B13" s="1648" t="s">
        <v>1294</v>
      </c>
      <c r="C13" s="942"/>
      <c r="D13" s="1645"/>
      <c r="E13" s="1644"/>
    </row>
    <row r="14" spans="1:5" s="1647" customFormat="1" ht="19" customHeight="1" x14ac:dyDescent="0.2">
      <c r="A14" s="1146">
        <f t="shared" ref="A14:A35" si="0">A13+1</f>
        <v>303</v>
      </c>
      <c r="B14" s="1188" t="s">
        <v>1295</v>
      </c>
      <c r="C14" s="942"/>
      <c r="D14" s="1645"/>
      <c r="E14" s="1644"/>
    </row>
    <row r="15" spans="1:5" s="1647" customFormat="1" ht="19" customHeight="1" x14ac:dyDescent="0.2">
      <c r="A15" s="1146">
        <f t="shared" si="0"/>
        <v>304</v>
      </c>
      <c r="B15" s="1649" t="s">
        <v>1296</v>
      </c>
      <c r="C15" s="1147"/>
      <c r="D15" s="1147"/>
      <c r="E15" s="1644"/>
    </row>
    <row r="16" spans="1:5" s="1647" customFormat="1" ht="19" customHeight="1" x14ac:dyDescent="0.2">
      <c r="A16" s="1146">
        <f t="shared" si="0"/>
        <v>305</v>
      </c>
      <c r="B16" s="1189" t="s">
        <v>1297</v>
      </c>
      <c r="C16" s="1147"/>
      <c r="D16" s="1147"/>
      <c r="E16" s="1644"/>
    </row>
    <row r="17" spans="1:5" s="1647" customFormat="1" ht="19" customHeight="1" x14ac:dyDescent="0.2">
      <c r="A17" s="1146">
        <f t="shared" si="0"/>
        <v>306</v>
      </c>
      <c r="B17" s="1022" t="s">
        <v>1298</v>
      </c>
      <c r="C17" s="1147"/>
      <c r="D17" s="1147"/>
      <c r="E17" s="1644"/>
    </row>
    <row r="18" spans="1:5" s="1647" customFormat="1" ht="19" customHeight="1" x14ac:dyDescent="0.2">
      <c r="A18" s="1146">
        <f t="shared" si="0"/>
        <v>307</v>
      </c>
      <c r="B18" s="1022" t="s">
        <v>1299</v>
      </c>
      <c r="C18" s="1147"/>
      <c r="D18" s="1147"/>
      <c r="E18" s="1644"/>
    </row>
    <row r="19" spans="1:5" s="1647" customFormat="1" ht="19" customHeight="1" x14ac:dyDescent="0.2">
      <c r="A19" s="1146">
        <f t="shared" si="0"/>
        <v>308</v>
      </c>
      <c r="B19" s="1022" t="s">
        <v>1300</v>
      </c>
      <c r="C19" s="1147"/>
      <c r="D19" s="1147"/>
      <c r="E19" s="1644"/>
    </row>
    <row r="20" spans="1:5" s="1647" customFormat="1" ht="19" customHeight="1" x14ac:dyDescent="0.2">
      <c r="A20" s="1146">
        <f t="shared" si="0"/>
        <v>309</v>
      </c>
      <c r="B20" s="965" t="s">
        <v>1301</v>
      </c>
      <c r="C20" s="1147"/>
      <c r="D20" s="1147"/>
      <c r="E20" s="1644"/>
    </row>
    <row r="21" spans="1:5" s="1647" customFormat="1" ht="19" customHeight="1" x14ac:dyDescent="0.2">
      <c r="A21" s="1146">
        <f t="shared" si="0"/>
        <v>310</v>
      </c>
      <c r="B21" s="1022" t="s">
        <v>1302</v>
      </c>
      <c r="C21" s="1147"/>
      <c r="D21" s="1147"/>
      <c r="E21" s="1644"/>
    </row>
    <row r="22" spans="1:5" s="1647" customFormat="1" ht="19" customHeight="1" x14ac:dyDescent="0.2">
      <c r="A22" s="1146">
        <f t="shared" si="0"/>
        <v>311</v>
      </c>
      <c r="B22" s="1190" t="s">
        <v>1303</v>
      </c>
      <c r="C22" s="1147"/>
      <c r="D22" s="1147"/>
      <c r="E22" s="1644"/>
    </row>
    <row r="23" spans="1:5" s="1647" customFormat="1" ht="19" customHeight="1" x14ac:dyDescent="0.2">
      <c r="A23" s="1146">
        <f t="shared" si="0"/>
        <v>312</v>
      </c>
      <c r="B23" s="1190" t="s">
        <v>1304</v>
      </c>
      <c r="C23" s="1147"/>
      <c r="D23" s="1147"/>
      <c r="E23" s="1644"/>
    </row>
    <row r="24" spans="1:5" s="1647" customFormat="1" ht="19" customHeight="1" x14ac:dyDescent="0.2">
      <c r="A24" s="1146">
        <f t="shared" si="0"/>
        <v>313</v>
      </c>
      <c r="B24" s="1022" t="s">
        <v>1305</v>
      </c>
      <c r="C24" s="1147"/>
      <c r="D24" s="1147"/>
      <c r="E24" s="1644"/>
    </row>
    <row r="25" spans="1:5" s="1647" customFormat="1" ht="19" customHeight="1" x14ac:dyDescent="0.2">
      <c r="A25" s="1146">
        <f t="shared" si="0"/>
        <v>314</v>
      </c>
      <c r="B25" s="1190" t="s">
        <v>1306</v>
      </c>
      <c r="C25" s="1147"/>
      <c r="D25" s="1147"/>
      <c r="E25" s="1644"/>
    </row>
    <row r="26" spans="1:5" s="1647" customFormat="1" ht="19" customHeight="1" x14ac:dyDescent="0.2">
      <c r="A26" s="1146">
        <f t="shared" si="0"/>
        <v>315</v>
      </c>
      <c r="B26" s="1022" t="s">
        <v>1307</v>
      </c>
      <c r="C26" s="1147"/>
      <c r="D26" s="1147"/>
      <c r="E26" s="1644"/>
    </row>
    <row r="27" spans="1:5" s="1647" customFormat="1" ht="19" customHeight="1" x14ac:dyDescent="0.2">
      <c r="A27" s="1146">
        <f t="shared" si="0"/>
        <v>316</v>
      </c>
      <c r="B27" s="1022" t="s">
        <v>1308</v>
      </c>
      <c r="C27" s="1147"/>
      <c r="D27" s="1147"/>
      <c r="E27" s="1644"/>
    </row>
    <row r="28" spans="1:5" s="1647" customFormat="1" ht="19" customHeight="1" x14ac:dyDescent="0.2">
      <c r="A28" s="1146">
        <f t="shared" si="0"/>
        <v>317</v>
      </c>
      <c r="B28" s="1022" t="s">
        <v>1309</v>
      </c>
      <c r="C28" s="1147"/>
      <c r="D28" s="1147"/>
      <c r="E28" s="1644"/>
    </row>
    <row r="29" spans="1:5" s="1647" customFormat="1" ht="19" customHeight="1" x14ac:dyDescent="0.2">
      <c r="A29" s="1146">
        <f t="shared" si="0"/>
        <v>318</v>
      </c>
      <c r="B29" s="1022" t="s">
        <v>1310</v>
      </c>
      <c r="C29" s="1147"/>
      <c r="D29" s="1147"/>
      <c r="E29" s="1644"/>
    </row>
    <row r="30" spans="1:5" s="1647" customFormat="1" ht="19" customHeight="1" x14ac:dyDescent="0.2">
      <c r="A30" s="1146">
        <f t="shared" si="0"/>
        <v>319</v>
      </c>
      <c r="B30" s="1022" t="s">
        <v>1311</v>
      </c>
      <c r="C30" s="1147"/>
      <c r="D30" s="1147"/>
      <c r="E30" s="1644"/>
    </row>
    <row r="31" spans="1:5" s="1647" customFormat="1" ht="19" customHeight="1" x14ac:dyDescent="0.2">
      <c r="A31" s="1146">
        <f t="shared" si="0"/>
        <v>320</v>
      </c>
      <c r="B31" s="873" t="s">
        <v>1312</v>
      </c>
      <c r="C31" s="1147"/>
      <c r="D31" s="1147"/>
      <c r="E31" s="1644"/>
    </row>
    <row r="32" spans="1:5" s="1647" customFormat="1" ht="19" customHeight="1" x14ac:dyDescent="0.2">
      <c r="A32" s="1146">
        <f t="shared" si="0"/>
        <v>321</v>
      </c>
      <c r="B32" s="873" t="s">
        <v>1313</v>
      </c>
      <c r="C32" s="1147"/>
      <c r="D32" s="1147"/>
      <c r="E32" s="1644"/>
    </row>
    <row r="33" spans="1:5" s="1647" customFormat="1" ht="19" customHeight="1" x14ac:dyDescent="0.2">
      <c r="A33" s="1146">
        <f t="shared" si="0"/>
        <v>322</v>
      </c>
      <c r="B33" s="1701" t="s">
        <v>1314</v>
      </c>
      <c r="C33" s="1147"/>
      <c r="D33" s="1147"/>
      <c r="E33" s="1644"/>
    </row>
    <row r="34" spans="1:5" s="1647" customFormat="1" ht="19" customHeight="1" x14ac:dyDescent="0.2">
      <c r="A34" s="1146">
        <f t="shared" si="0"/>
        <v>323</v>
      </c>
      <c r="B34" s="1701" t="s">
        <v>1315</v>
      </c>
      <c r="C34" s="1147"/>
      <c r="D34" s="1147"/>
      <c r="E34" s="1644"/>
    </row>
    <row r="35" spans="1:5" s="1647" customFormat="1" ht="19" customHeight="1" x14ac:dyDescent="0.2">
      <c r="A35" s="1146">
        <f t="shared" si="0"/>
        <v>324</v>
      </c>
      <c r="B35" s="873" t="s">
        <v>1316</v>
      </c>
      <c r="C35" s="1147"/>
      <c r="D35" s="1147"/>
      <c r="E35" s="1644"/>
    </row>
    <row r="36" spans="1:5" ht="19" customHeight="1" x14ac:dyDescent="0.25">
      <c r="A36" s="70"/>
      <c r="B36" s="70"/>
      <c r="C36" s="70"/>
      <c r="D36" s="70"/>
    </row>
    <row r="37" spans="1:5" x14ac:dyDescent="0.25">
      <c r="A37" s="70"/>
      <c r="B37" s="70"/>
      <c r="C37" s="70"/>
      <c r="D37" s="70"/>
    </row>
    <row r="38" spans="1:5" x14ac:dyDescent="0.25">
      <c r="A38" s="70"/>
      <c r="B38" s="70"/>
      <c r="C38" s="70"/>
      <c r="D38" s="70"/>
    </row>
    <row r="39" spans="1:5" x14ac:dyDescent="0.25">
      <c r="A39" s="70"/>
      <c r="B39" s="70"/>
      <c r="C39" s="70"/>
      <c r="D39" s="70"/>
    </row>
    <row r="40" spans="1:5" x14ac:dyDescent="0.25">
      <c r="A40" s="70"/>
      <c r="B40" s="70"/>
      <c r="C40" s="70"/>
      <c r="D40" s="70"/>
    </row>
    <row r="41" spans="1:5" x14ac:dyDescent="0.25">
      <c r="A41" s="70"/>
      <c r="B41" s="70"/>
      <c r="C41" s="70"/>
      <c r="D41" s="70"/>
    </row>
    <row r="42" spans="1:5" x14ac:dyDescent="0.25">
      <c r="A42" s="70"/>
      <c r="B42" s="70"/>
      <c r="C42" s="70"/>
      <c r="D42" s="70"/>
    </row>
    <row r="43" spans="1:5" x14ac:dyDescent="0.25">
      <c r="A43" s="70"/>
      <c r="B43" s="70"/>
      <c r="C43" s="70"/>
      <c r="D43" s="70"/>
    </row>
    <row r="49" spans="1:4" ht="15.5" x14ac:dyDescent="0.25">
      <c r="A49" s="405"/>
      <c r="B49" s="405"/>
      <c r="C49" s="405"/>
      <c r="D49" s="405"/>
    </row>
  </sheetData>
  <mergeCells count="6">
    <mergeCell ref="A5:A11"/>
    <mergeCell ref="B5:B11"/>
    <mergeCell ref="C5:C7"/>
    <mergeCell ref="D5:D7"/>
    <mergeCell ref="D8:D11"/>
    <mergeCell ref="C9:C10"/>
  </mergeCells>
  <pageMargins left="0.314" right="0.314" top="0.11799999999999999" bottom="0.27500000000000002" header="0.157" footer="0.11799999999999999"/>
  <pageSetup scale="90" firstPageNumber="52" orientation="landscape" r:id="rId1"/>
  <headerFooter>
    <oddFooter>&amp;C&amp;P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40"/>
  <sheetViews>
    <sheetView zoomScale="130" zoomScaleNormal="90" zoomScaleSheetLayoutView="130" zoomScalePageLayoutView="70" workbookViewId="0">
      <selection activeCell="G32" sqref="G32"/>
    </sheetView>
  </sheetViews>
  <sheetFormatPr defaultColWidth="9.1796875" defaultRowHeight="12.5" x14ac:dyDescent="0.25"/>
  <cols>
    <col min="1" max="1" width="8.453125" style="10" customWidth="1"/>
    <col min="2" max="2" width="81.7265625" style="10" customWidth="1"/>
    <col min="3" max="3" width="20.453125" style="10" customWidth="1"/>
    <col min="4" max="4" width="23.1796875" style="10" customWidth="1"/>
    <col min="5" max="16384" width="9.1796875" style="10"/>
  </cols>
  <sheetData>
    <row r="1" spans="1:5" ht="13" x14ac:dyDescent="0.3">
      <c r="A1" s="637" t="s">
        <v>1285</v>
      </c>
      <c r="B1" s="3"/>
      <c r="C1" s="3"/>
      <c r="D1" s="1642"/>
    </row>
    <row r="2" spans="1:5" ht="13" x14ac:dyDescent="0.3">
      <c r="A2" s="398" t="s">
        <v>1317</v>
      </c>
      <c r="C2" s="3"/>
      <c r="D2" s="3"/>
    </row>
    <row r="3" spans="1:5" ht="13" x14ac:dyDescent="0.3">
      <c r="A3" s="398"/>
      <c r="C3" s="3"/>
      <c r="D3" s="3"/>
    </row>
    <row r="4" spans="1:5" ht="13" x14ac:dyDescent="0.3">
      <c r="A4" s="645" t="s">
        <v>1318</v>
      </c>
      <c r="B4" s="872"/>
      <c r="C4" s="647" t="s">
        <v>1319</v>
      </c>
      <c r="D4" s="647" t="s">
        <v>1320</v>
      </c>
    </row>
    <row r="5" spans="1:5" x14ac:dyDescent="0.25">
      <c r="A5" s="3320" t="s">
        <v>1262</v>
      </c>
      <c r="B5" s="3335" t="s">
        <v>1263</v>
      </c>
      <c r="C5" s="3220" t="s">
        <v>1321</v>
      </c>
      <c r="D5" s="3220" t="s">
        <v>1322</v>
      </c>
    </row>
    <row r="6" spans="1:5" x14ac:dyDescent="0.25">
      <c r="A6" s="3321"/>
      <c r="B6" s="3139"/>
      <c r="C6" s="3330"/>
      <c r="D6" s="3330"/>
    </row>
    <row r="7" spans="1:5" ht="18.75" customHeight="1" x14ac:dyDescent="0.25">
      <c r="A7" s="3321"/>
      <c r="B7" s="3139"/>
      <c r="C7" s="3331"/>
      <c r="D7" s="3331"/>
    </row>
    <row r="8" spans="1:5" x14ac:dyDescent="0.25">
      <c r="A8" s="3321"/>
      <c r="B8" s="3139"/>
      <c r="C8" s="1122" t="s">
        <v>920</v>
      </c>
      <c r="D8" s="3316" t="s">
        <v>1266</v>
      </c>
    </row>
    <row r="9" spans="1:5" x14ac:dyDescent="0.25">
      <c r="A9" s="3321"/>
      <c r="B9" s="3139"/>
      <c r="C9" s="3338" t="s">
        <v>1323</v>
      </c>
      <c r="D9" s="3337"/>
    </row>
    <row r="10" spans="1:5" x14ac:dyDescent="0.25">
      <c r="A10" s="3321"/>
      <c r="B10" s="3139"/>
      <c r="C10" s="3339"/>
      <c r="D10" s="3337"/>
    </row>
    <row r="11" spans="1:5" ht="13" thickBot="1" x14ac:dyDescent="0.3">
      <c r="A11" s="3334"/>
      <c r="B11" s="3336"/>
      <c r="C11" s="651" t="s">
        <v>346</v>
      </c>
      <c r="D11" s="3333"/>
    </row>
    <row r="12" spans="1:5" ht="20.25" customHeight="1" thickTop="1" x14ac:dyDescent="0.25">
      <c r="A12" s="1146">
        <v>401</v>
      </c>
      <c r="B12" s="1184" t="s">
        <v>1324</v>
      </c>
      <c r="C12" s="142"/>
      <c r="D12" s="142"/>
      <c r="E12" s="1644"/>
    </row>
    <row r="13" spans="1:5" ht="20.25" customHeight="1" x14ac:dyDescent="0.25">
      <c r="A13" s="1146">
        <f>A12+1</f>
        <v>402</v>
      </c>
      <c r="B13" s="1022" t="s">
        <v>1325</v>
      </c>
      <c r="C13" s="142"/>
      <c r="D13" s="142"/>
      <c r="E13" s="1644"/>
    </row>
    <row r="14" spans="1:5" ht="20.25" customHeight="1" x14ac:dyDescent="0.25">
      <c r="A14" s="1146">
        <f t="shared" ref="A14:A32" si="0">A13+1</f>
        <v>403</v>
      </c>
      <c r="B14" s="1022" t="s">
        <v>1326</v>
      </c>
      <c r="C14" s="142"/>
      <c r="D14" s="142"/>
      <c r="E14" s="1650"/>
    </row>
    <row r="15" spans="1:5" ht="29.25" customHeight="1" x14ac:dyDescent="0.25">
      <c r="A15" s="1146">
        <f t="shared" si="0"/>
        <v>404</v>
      </c>
      <c r="B15" s="1022" t="s">
        <v>1327</v>
      </c>
      <c r="C15" s="142"/>
      <c r="D15" s="142"/>
      <c r="E15" s="1650"/>
    </row>
    <row r="16" spans="1:5" ht="19.5" customHeight="1" x14ac:dyDescent="0.25">
      <c r="A16" s="1146">
        <f t="shared" si="0"/>
        <v>405</v>
      </c>
      <c r="B16" s="1022" t="s">
        <v>1328</v>
      </c>
      <c r="C16" s="142"/>
      <c r="D16" s="142"/>
      <c r="E16" s="1650"/>
    </row>
    <row r="17" spans="1:5" ht="20.25" customHeight="1" x14ac:dyDescent="0.25">
      <c r="A17" s="1146">
        <f t="shared" si="0"/>
        <v>406</v>
      </c>
      <c r="B17" s="1022" t="s">
        <v>1329</v>
      </c>
      <c r="C17" s="142"/>
      <c r="D17" s="142"/>
      <c r="E17" s="1644"/>
    </row>
    <row r="18" spans="1:5" ht="20.25" customHeight="1" x14ac:dyDescent="0.25">
      <c r="A18" s="1146">
        <f t="shared" si="0"/>
        <v>407</v>
      </c>
      <c r="B18" s="1022" t="s">
        <v>1330</v>
      </c>
      <c r="C18" s="142"/>
      <c r="D18" s="142"/>
      <c r="E18" s="1644"/>
    </row>
    <row r="19" spans="1:5" ht="20.25" customHeight="1" x14ac:dyDescent="0.25">
      <c r="A19" s="1146">
        <f t="shared" si="0"/>
        <v>408</v>
      </c>
      <c r="B19" s="1022" t="s">
        <v>1331</v>
      </c>
      <c r="C19" s="142"/>
      <c r="D19" s="142"/>
      <c r="E19" s="1644"/>
    </row>
    <row r="20" spans="1:5" ht="20.25" customHeight="1" x14ac:dyDescent="0.25">
      <c r="A20" s="1146">
        <f t="shared" si="0"/>
        <v>409</v>
      </c>
      <c r="B20" s="1191" t="s">
        <v>1332</v>
      </c>
      <c r="C20" s="142"/>
      <c r="D20" s="639"/>
      <c r="E20" s="1644"/>
    </row>
    <row r="21" spans="1:5" ht="20.25" customHeight="1" x14ac:dyDescent="0.25">
      <c r="A21" s="1146">
        <f t="shared" si="0"/>
        <v>410</v>
      </c>
      <c r="B21" s="1184" t="s">
        <v>1333</v>
      </c>
      <c r="C21" s="142"/>
      <c r="D21" s="142"/>
      <c r="E21" s="1644"/>
    </row>
    <row r="22" spans="1:5" ht="20.25" customHeight="1" x14ac:dyDescent="0.25">
      <c r="A22" s="1146">
        <f t="shared" si="0"/>
        <v>411</v>
      </c>
      <c r="B22" s="1184" t="s">
        <v>1334</v>
      </c>
      <c r="C22" s="142"/>
      <c r="D22" s="142"/>
      <c r="E22" s="1644"/>
    </row>
    <row r="23" spans="1:5" ht="20.25" customHeight="1" x14ac:dyDescent="0.25">
      <c r="A23" s="1146">
        <f t="shared" si="0"/>
        <v>412</v>
      </c>
      <c r="B23" s="1184" t="s">
        <v>1335</v>
      </c>
      <c r="C23" s="142"/>
      <c r="D23" s="142"/>
      <c r="E23" s="1644"/>
    </row>
    <row r="24" spans="1:5" ht="20.25" customHeight="1" x14ac:dyDescent="0.25">
      <c r="A24" s="1146">
        <f t="shared" si="0"/>
        <v>413</v>
      </c>
      <c r="B24" s="880" t="s">
        <v>1336</v>
      </c>
      <c r="C24" s="142"/>
      <c r="D24" s="142"/>
      <c r="E24" s="1644"/>
    </row>
    <row r="25" spans="1:5" ht="20.25" customHeight="1" x14ac:dyDescent="0.25">
      <c r="A25" s="1146">
        <f t="shared" si="0"/>
        <v>414</v>
      </c>
      <c r="B25" s="880" t="s">
        <v>1337</v>
      </c>
      <c r="C25" s="142"/>
      <c r="D25" s="142"/>
      <c r="E25" s="1644"/>
    </row>
    <row r="26" spans="1:5" ht="20.25" customHeight="1" x14ac:dyDescent="0.25">
      <c r="A26" s="1146">
        <f t="shared" si="0"/>
        <v>415</v>
      </c>
      <c r="B26" s="1765" t="s">
        <v>1338</v>
      </c>
      <c r="C26" s="142"/>
      <c r="D26" s="142"/>
      <c r="E26" s="1644"/>
    </row>
    <row r="27" spans="1:5" ht="26" customHeight="1" x14ac:dyDescent="0.25">
      <c r="A27" s="1146">
        <f t="shared" si="0"/>
        <v>416</v>
      </c>
      <c r="B27" s="1765" t="s">
        <v>1339</v>
      </c>
      <c r="C27" s="142"/>
      <c r="D27" s="142"/>
      <c r="E27" s="1644"/>
    </row>
    <row r="28" spans="1:5" ht="20.25" customHeight="1" x14ac:dyDescent="0.25">
      <c r="A28" s="1146">
        <f t="shared" si="0"/>
        <v>417</v>
      </c>
      <c r="B28" s="1147" t="s">
        <v>1340</v>
      </c>
      <c r="C28" s="142"/>
      <c r="D28" s="142"/>
      <c r="E28" s="1644"/>
    </row>
    <row r="29" spans="1:5" ht="20.25" customHeight="1" x14ac:dyDescent="0.25">
      <c r="A29" s="1146">
        <f t="shared" si="0"/>
        <v>418</v>
      </c>
      <c r="B29" s="1147" t="s">
        <v>1341</v>
      </c>
      <c r="C29" s="142"/>
      <c r="D29" s="142"/>
      <c r="E29" s="1644"/>
    </row>
    <row r="30" spans="1:5" ht="20.25" customHeight="1" x14ac:dyDescent="0.25">
      <c r="A30" s="1146">
        <f t="shared" si="0"/>
        <v>419</v>
      </c>
      <c r="B30" s="1147" t="s">
        <v>1342</v>
      </c>
      <c r="C30" s="142"/>
      <c r="D30" s="142"/>
      <c r="E30" s="1644"/>
    </row>
    <row r="31" spans="1:5" ht="20.25" customHeight="1" x14ac:dyDescent="0.25">
      <c r="A31" s="1146">
        <f t="shared" si="0"/>
        <v>420</v>
      </c>
      <c r="B31" s="873" t="s">
        <v>1343</v>
      </c>
      <c r="C31" s="142"/>
      <c r="D31" s="142"/>
      <c r="E31" s="1644"/>
    </row>
    <row r="32" spans="1:5" x14ac:dyDescent="0.25">
      <c r="A32" s="2102">
        <f t="shared" si="0"/>
        <v>421</v>
      </c>
      <c r="B32" s="2103" t="s">
        <v>1344</v>
      </c>
      <c r="C32" s="2104"/>
      <c r="D32" s="2104"/>
    </row>
    <row r="33" spans="1:4" x14ac:dyDescent="0.25">
      <c r="A33" s="70"/>
      <c r="B33" s="70"/>
      <c r="C33" s="70"/>
      <c r="D33" s="70"/>
    </row>
    <row r="34" spans="1:4" x14ac:dyDescent="0.25">
      <c r="A34" s="70"/>
      <c r="B34" s="70"/>
      <c r="C34" s="70"/>
      <c r="D34" s="70"/>
    </row>
    <row r="40" spans="1:4" ht="15.5" x14ac:dyDescent="0.25">
      <c r="A40" s="405"/>
      <c r="B40" s="405"/>
      <c r="C40" s="405"/>
      <c r="D40" s="405"/>
    </row>
  </sheetData>
  <mergeCells count="6">
    <mergeCell ref="A5:A11"/>
    <mergeCell ref="B5:B11"/>
    <mergeCell ref="C5:C7"/>
    <mergeCell ref="D5:D7"/>
    <mergeCell ref="D8:D11"/>
    <mergeCell ref="C9:C10"/>
  </mergeCells>
  <pageMargins left="0.314" right="0.314" top="0.11799999999999999" bottom="0.27500000000000002" header="0.157" footer="0.11799999999999999"/>
  <pageSetup scale="90" firstPageNumber="53" orientation="landscape" r:id="rId1"/>
  <headerFooter>
    <oddFooter>&amp;C&amp;P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130" zoomScaleNormal="100" zoomScaleSheetLayoutView="130" workbookViewId="0">
      <selection activeCell="AH29" sqref="AH29"/>
    </sheetView>
  </sheetViews>
  <sheetFormatPr defaultColWidth="8.81640625" defaultRowHeight="12.5" x14ac:dyDescent="0.25"/>
  <cols>
    <col min="1" max="1" width="7.7265625" style="10" customWidth="1"/>
    <col min="2" max="2" width="92" style="10" customWidth="1"/>
    <col min="3" max="3" width="18.1796875" style="10" customWidth="1"/>
    <col min="4" max="4" width="17.7265625" style="10" customWidth="1"/>
  </cols>
  <sheetData>
    <row r="1" spans="1:5" ht="13" x14ac:dyDescent="0.3">
      <c r="A1" s="637" t="s">
        <v>1285</v>
      </c>
      <c r="B1" s="643"/>
      <c r="C1" s="643"/>
      <c r="D1" s="644"/>
    </row>
    <row r="2" spans="1:5" ht="15.5" x14ac:dyDescent="0.25">
      <c r="A2" s="398" t="s">
        <v>1345</v>
      </c>
      <c r="B2" s="405"/>
      <c r="C2" s="405"/>
      <c r="D2" s="405"/>
    </row>
    <row r="3" spans="1:5" ht="15.5" x14ac:dyDescent="0.25">
      <c r="A3" s="405"/>
      <c r="B3" s="405"/>
      <c r="C3" s="405"/>
      <c r="D3" s="405"/>
    </row>
    <row r="4" spans="1:5" ht="13" x14ac:dyDescent="0.3">
      <c r="A4" s="645" t="s">
        <v>1346</v>
      </c>
      <c r="B4" s="646"/>
      <c r="C4" s="647" t="s">
        <v>1347</v>
      </c>
      <c r="D4" s="647" t="s">
        <v>1348</v>
      </c>
    </row>
    <row r="5" spans="1:5" ht="34.5" x14ac:dyDescent="0.25">
      <c r="A5" s="3320" t="s">
        <v>1262</v>
      </c>
      <c r="B5" s="3335" t="s">
        <v>1349</v>
      </c>
      <c r="C5" s="653" t="s">
        <v>1350</v>
      </c>
      <c r="D5" s="1001" t="s">
        <v>1351</v>
      </c>
    </row>
    <row r="6" spans="1:5" x14ac:dyDescent="0.25">
      <c r="A6" s="3340"/>
      <c r="B6" s="3342"/>
      <c r="C6" s="654" t="s">
        <v>920</v>
      </c>
      <c r="D6" s="3344" t="s">
        <v>1266</v>
      </c>
    </row>
    <row r="7" spans="1:5" x14ac:dyDescent="0.25">
      <c r="A7" s="3340"/>
      <c r="B7" s="3342"/>
      <c r="C7" s="3338" t="s">
        <v>1267</v>
      </c>
      <c r="D7" s="3345"/>
    </row>
    <row r="8" spans="1:5" x14ac:dyDescent="0.25">
      <c r="A8" s="3340"/>
      <c r="B8" s="3342"/>
      <c r="C8" s="3339"/>
      <c r="D8" s="3345"/>
    </row>
    <row r="9" spans="1:5" ht="13" thickBot="1" x14ac:dyDescent="0.3">
      <c r="A9" s="3341"/>
      <c r="B9" s="3343"/>
      <c r="C9" s="655" t="s">
        <v>346</v>
      </c>
      <c r="D9" s="3346"/>
    </row>
    <row r="10" spans="1:5" ht="16.5" customHeight="1" thickTop="1" x14ac:dyDescent="0.25">
      <c r="A10" s="1151">
        <v>501</v>
      </c>
      <c r="B10" s="1125" t="s">
        <v>1352</v>
      </c>
      <c r="C10" s="1148"/>
      <c r="D10" s="1149"/>
      <c r="E10" s="1185"/>
    </row>
    <row r="11" spans="1:5" x14ac:dyDescent="0.25">
      <c r="A11" s="1201">
        <f>A10+1</f>
        <v>502</v>
      </c>
      <c r="B11" s="1192" t="s">
        <v>1353</v>
      </c>
      <c r="C11" s="665"/>
      <c r="D11" s="2487"/>
      <c r="E11" s="1185"/>
    </row>
    <row r="12" spans="1:5" ht="20.25" customHeight="1" x14ac:dyDescent="0.25">
      <c r="A12" s="1201">
        <f t="shared" ref="A12:A21" si="0">A11+1</f>
        <v>503</v>
      </c>
      <c r="B12" s="656" t="s">
        <v>1354</v>
      </c>
      <c r="C12" s="649"/>
      <c r="D12" s="650"/>
      <c r="E12" s="1185"/>
    </row>
    <row r="13" spans="1:5" x14ac:dyDescent="0.25">
      <c r="A13" s="1201">
        <f t="shared" si="0"/>
        <v>504</v>
      </c>
      <c r="B13" s="656" t="s">
        <v>1355</v>
      </c>
      <c r="C13" s="649"/>
      <c r="D13" s="650"/>
      <c r="E13" s="1185"/>
    </row>
    <row r="14" spans="1:5" ht="16.5" customHeight="1" x14ac:dyDescent="0.25">
      <c r="A14" s="1201">
        <f t="shared" si="0"/>
        <v>505</v>
      </c>
      <c r="B14" s="1022" t="s">
        <v>1356</v>
      </c>
      <c r="C14" s="844"/>
      <c r="D14" s="1200"/>
      <c r="E14" s="1185"/>
    </row>
    <row r="15" spans="1:5" ht="16.5" customHeight="1" x14ac:dyDescent="0.25">
      <c r="A15" s="1201">
        <f t="shared" si="0"/>
        <v>506</v>
      </c>
      <c r="B15" s="1022" t="s">
        <v>1357</v>
      </c>
      <c r="C15" s="844"/>
      <c r="D15" s="1200"/>
      <c r="E15" s="1185"/>
    </row>
    <row r="16" spans="1:5" ht="16.5" customHeight="1" x14ac:dyDescent="0.25">
      <c r="A16" s="1201">
        <f t="shared" si="0"/>
        <v>507</v>
      </c>
      <c r="B16" s="1022" t="s">
        <v>1358</v>
      </c>
      <c r="C16" s="1200"/>
      <c r="D16" s="1200"/>
      <c r="E16" s="1185"/>
    </row>
    <row r="17" spans="1:5" ht="20.25" customHeight="1" x14ac:dyDescent="0.25">
      <c r="A17" s="1201">
        <f t="shared" si="0"/>
        <v>508</v>
      </c>
      <c r="B17" s="656" t="s">
        <v>1359</v>
      </c>
      <c r="C17" s="650"/>
      <c r="D17" s="650"/>
      <c r="E17" s="1185"/>
    </row>
    <row r="18" spans="1:5" ht="20.25" customHeight="1" x14ac:dyDescent="0.25">
      <c r="A18" s="1201">
        <f t="shared" si="0"/>
        <v>509</v>
      </c>
      <c r="B18" s="656" t="s">
        <v>1360</v>
      </c>
      <c r="C18" s="650"/>
      <c r="D18" s="650"/>
      <c r="E18" s="1185"/>
    </row>
    <row r="19" spans="1:5" ht="16.5" customHeight="1" x14ac:dyDescent="0.25">
      <c r="A19" s="1201">
        <f t="shared" si="0"/>
        <v>510</v>
      </c>
      <c r="B19" s="1022" t="s">
        <v>1361</v>
      </c>
      <c r="C19" s="1200"/>
      <c r="D19" s="1200"/>
      <c r="E19" s="1185"/>
    </row>
    <row r="20" spans="1:5" ht="20.25" customHeight="1" x14ac:dyDescent="0.25">
      <c r="A20" s="1201">
        <f t="shared" si="0"/>
        <v>511</v>
      </c>
      <c r="B20" s="656" t="s">
        <v>1362</v>
      </c>
      <c r="C20" s="650"/>
      <c r="D20" s="650"/>
      <c r="E20" s="1185"/>
    </row>
    <row r="21" spans="1:5" ht="20.25" customHeight="1" x14ac:dyDescent="0.25">
      <c r="A21" s="1201">
        <f t="shared" si="0"/>
        <v>512</v>
      </c>
      <c r="B21" s="656" t="s">
        <v>1363</v>
      </c>
      <c r="C21" s="650"/>
      <c r="D21" s="650"/>
      <c r="E21" s="1185"/>
    </row>
  </sheetData>
  <mergeCells count="4">
    <mergeCell ref="A5:A9"/>
    <mergeCell ref="B5:B9"/>
    <mergeCell ref="D6:D9"/>
    <mergeCell ref="C7:C8"/>
  </mergeCells>
  <pageMargins left="0.314" right="0.314" top="0.11799999999999999" bottom="0.27500000000000002" header="0.157" footer="0.11799999999999999"/>
  <pageSetup scale="89" firstPageNumber="54" orientation="landscape" r:id="rId1"/>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K171"/>
  <sheetViews>
    <sheetView showGridLines="0" view="pageBreakPreview" zoomScale="66" zoomScaleNormal="150" zoomScaleSheetLayoutView="66" workbookViewId="0">
      <selection activeCell="W21" sqref="W21"/>
    </sheetView>
  </sheetViews>
  <sheetFormatPr defaultColWidth="2.7265625" defaultRowHeight="15.5" x14ac:dyDescent="0.35"/>
  <cols>
    <col min="1" max="1" width="2.81640625" style="1283" customWidth="1"/>
    <col min="2" max="2" width="67.1796875" style="1281" bestFit="1" customWidth="1"/>
    <col min="3" max="3" width="3" style="1284" bestFit="1" customWidth="1"/>
    <col min="4" max="4" width="1.453125" style="1285" customWidth="1"/>
    <col min="5" max="5" width="2.81640625" style="1281" customWidth="1"/>
    <col min="6" max="6" width="2.81640625" style="1280" customWidth="1"/>
    <col min="7" max="7" width="55" style="1281" customWidth="1"/>
    <col min="8" max="8" width="2.81640625" style="1281" customWidth="1"/>
    <col min="9" max="9" width="4.453125" style="1281" customWidth="1"/>
    <col min="10" max="10" width="4" style="1282" bestFit="1" customWidth="1"/>
    <col min="11" max="16384" width="2.7265625" style="885"/>
  </cols>
  <sheetData>
    <row r="1" spans="1:11" s="6" customFormat="1" ht="20.25" customHeight="1" x14ac:dyDescent="0.35">
      <c r="A1" s="2740" t="s">
        <v>25</v>
      </c>
      <c r="B1" s="2740"/>
      <c r="C1" s="2740"/>
      <c r="D1" s="2740"/>
      <c r="E1" s="2740"/>
      <c r="F1" s="2740"/>
      <c r="G1" s="2740"/>
      <c r="H1" s="2740"/>
      <c r="I1" s="2740"/>
      <c r="J1" s="2740"/>
    </row>
    <row r="2" spans="1:11" s="6" customFormat="1" ht="20.25" customHeight="1" x14ac:dyDescent="0.35">
      <c r="A2" s="1260"/>
      <c r="B2" s="1261"/>
      <c r="C2" s="1262"/>
      <c r="D2" s="1263"/>
      <c r="E2" s="1264"/>
      <c r="F2" s="1265"/>
      <c r="G2" s="1261"/>
      <c r="H2" s="1261"/>
      <c r="I2" s="1261"/>
      <c r="J2" s="1262"/>
      <c r="K2" s="1266"/>
    </row>
    <row r="3" spans="1:11" s="1266" customFormat="1" ht="14.25" customHeight="1" x14ac:dyDescent="0.3">
      <c r="A3" s="1157">
        <v>0</v>
      </c>
      <c r="B3" s="1267" t="s">
        <v>26</v>
      </c>
      <c r="C3" s="1262"/>
      <c r="D3" s="1263"/>
      <c r="E3" s="1268"/>
      <c r="F3" s="1574">
        <v>10</v>
      </c>
      <c r="G3" s="1267" t="s">
        <v>27</v>
      </c>
      <c r="H3" s="1262"/>
      <c r="I3" s="1270"/>
      <c r="J3" s="1262"/>
      <c r="K3" s="1270"/>
    </row>
    <row r="4" spans="1:11" s="1270" customFormat="1" ht="18" customHeight="1" x14ac:dyDescent="0.25">
      <c r="A4" s="1158"/>
      <c r="B4" s="575" t="s">
        <v>28</v>
      </c>
      <c r="C4" s="1262">
        <v>3</v>
      </c>
      <c r="D4" s="1263"/>
      <c r="E4" s="1268"/>
      <c r="F4" s="1574"/>
      <c r="G4" s="1276" t="s">
        <v>29</v>
      </c>
      <c r="J4" s="1262">
        <v>50</v>
      </c>
    </row>
    <row r="5" spans="1:11" s="1270" customFormat="1" ht="18" customHeight="1" x14ac:dyDescent="0.25">
      <c r="A5" s="1158"/>
      <c r="B5" s="575" t="s">
        <v>30</v>
      </c>
      <c r="C5" s="1262">
        <v>3</v>
      </c>
      <c r="D5" s="1263"/>
      <c r="E5" s="1268"/>
      <c r="F5" s="1574"/>
      <c r="G5" s="1276" t="s">
        <v>31</v>
      </c>
      <c r="J5" s="1262">
        <v>51</v>
      </c>
    </row>
    <row r="6" spans="1:11" s="1270" customFormat="1" ht="18" customHeight="1" x14ac:dyDescent="0.25">
      <c r="A6" s="1158"/>
      <c r="B6" s="575" t="s">
        <v>32</v>
      </c>
      <c r="C6" s="1262">
        <v>3</v>
      </c>
      <c r="D6" s="1263"/>
      <c r="E6" s="1268"/>
      <c r="F6" s="1574"/>
      <c r="G6" s="1276"/>
    </row>
    <row r="7" spans="1:11" s="1270" customFormat="1" ht="18" customHeight="1" x14ac:dyDescent="0.35">
      <c r="A7" s="1157">
        <v>1</v>
      </c>
      <c r="B7" s="1267" t="s">
        <v>33</v>
      </c>
      <c r="C7" s="1262">
        <v>4</v>
      </c>
      <c r="D7" s="1263"/>
      <c r="E7" s="1268"/>
      <c r="F7" s="1274">
        <v>11</v>
      </c>
      <c r="G7" s="1599" t="s">
        <v>34</v>
      </c>
      <c r="H7" s="1278"/>
      <c r="I7" s="1278"/>
      <c r="J7" s="1600">
        <v>58</v>
      </c>
      <c r="K7" s="1278"/>
    </row>
    <row r="8" spans="1:11" s="1270" customFormat="1" ht="18" customHeight="1" x14ac:dyDescent="0.35">
      <c r="A8" s="1159">
        <v>2</v>
      </c>
      <c r="B8" s="1267" t="s">
        <v>35</v>
      </c>
      <c r="C8" s="1262">
        <v>9</v>
      </c>
      <c r="D8" s="1263"/>
      <c r="E8" s="1268"/>
      <c r="F8" s="1274">
        <v>12</v>
      </c>
      <c r="G8" s="1599" t="s">
        <v>36</v>
      </c>
      <c r="H8" s="1278"/>
      <c r="I8" s="1278"/>
      <c r="J8" s="1600">
        <v>61</v>
      </c>
      <c r="K8" s="1278"/>
    </row>
    <row r="9" spans="1:11" s="1270" customFormat="1" ht="18" customHeight="1" x14ac:dyDescent="0.35">
      <c r="A9" s="1157">
        <v>3</v>
      </c>
      <c r="B9" s="1267" t="s">
        <v>37</v>
      </c>
      <c r="C9" s="1262">
        <v>14</v>
      </c>
      <c r="D9" s="1263"/>
      <c r="E9" s="1268"/>
      <c r="F9" s="1599">
        <v>13</v>
      </c>
      <c r="G9" s="1605" t="s">
        <v>38</v>
      </c>
      <c r="H9" s="1274"/>
      <c r="I9" s="1278"/>
      <c r="J9" s="1600"/>
      <c r="K9" s="1278"/>
    </row>
    <row r="10" spans="1:11" s="1270" customFormat="1" ht="18" customHeight="1" x14ac:dyDescent="0.35">
      <c r="A10" s="1272">
        <v>4</v>
      </c>
      <c r="B10" s="1267" t="s">
        <v>39</v>
      </c>
      <c r="C10" s="1262"/>
      <c r="D10" s="1263"/>
      <c r="E10" s="1268"/>
      <c r="F10" s="1261"/>
      <c r="G10" s="1601" t="s">
        <v>40</v>
      </c>
      <c r="H10" s="1274"/>
      <c r="I10" s="1278"/>
      <c r="J10" s="1600">
        <v>63</v>
      </c>
      <c r="K10" s="1278"/>
    </row>
    <row r="11" spans="1:11" s="1270" customFormat="1" ht="18" customHeight="1" x14ac:dyDescent="0.35">
      <c r="A11" s="1275"/>
      <c r="B11" s="1276" t="s">
        <v>41</v>
      </c>
      <c r="C11" s="1262">
        <v>19</v>
      </c>
      <c r="D11" s="1263"/>
      <c r="E11" s="1268"/>
      <c r="F11" s="1599">
        <v>14</v>
      </c>
      <c r="G11" s="1599" t="s">
        <v>42</v>
      </c>
      <c r="H11" s="1274"/>
      <c r="I11" s="1278"/>
      <c r="J11" s="1600"/>
      <c r="K11" s="1278"/>
    </row>
    <row r="12" spans="1:11" s="1270" customFormat="1" ht="18" customHeight="1" x14ac:dyDescent="0.35">
      <c r="A12" s="1157"/>
      <c r="B12" s="1276" t="s">
        <v>43</v>
      </c>
      <c r="C12" s="1262">
        <v>22</v>
      </c>
      <c r="D12" s="1263"/>
      <c r="E12" s="1268"/>
      <c r="F12" s="1599"/>
      <c r="G12" s="1261" t="s">
        <v>44</v>
      </c>
      <c r="H12" s="1274"/>
      <c r="I12" s="1278"/>
      <c r="J12" s="1600">
        <v>64</v>
      </c>
      <c r="K12" s="1278"/>
    </row>
    <row r="13" spans="1:11" s="1270" customFormat="1" ht="18" customHeight="1" x14ac:dyDescent="0.35">
      <c r="A13" s="1275"/>
      <c r="B13" s="1276" t="s">
        <v>45</v>
      </c>
      <c r="C13" s="1262">
        <v>26</v>
      </c>
      <c r="D13" s="1263"/>
      <c r="E13" s="1268"/>
      <c r="F13" s="1599"/>
      <c r="G13" s="1270" t="s">
        <v>46</v>
      </c>
      <c r="H13" s="1274"/>
      <c r="I13" s="1278"/>
      <c r="J13" s="1600">
        <v>65</v>
      </c>
      <c r="K13" s="1278"/>
    </row>
    <row r="14" spans="1:11" s="1270" customFormat="1" ht="18" customHeight="1" x14ac:dyDescent="0.35">
      <c r="A14" s="1272">
        <v>5</v>
      </c>
      <c r="B14" s="1267" t="s">
        <v>47</v>
      </c>
      <c r="C14" s="1262">
        <v>28</v>
      </c>
      <c r="D14" s="1263"/>
      <c r="E14" s="1268"/>
      <c r="F14" s="1599">
        <v>15</v>
      </c>
      <c r="G14" s="1602" t="s">
        <v>48</v>
      </c>
      <c r="H14" s="1274"/>
      <c r="I14" s="1278"/>
      <c r="J14" s="1600">
        <v>66</v>
      </c>
      <c r="K14" s="1278"/>
    </row>
    <row r="15" spans="1:11" s="1270" customFormat="1" ht="18" customHeight="1" x14ac:dyDescent="0.35">
      <c r="A15" s="1272">
        <v>6</v>
      </c>
      <c r="B15" s="1267" t="s">
        <v>49</v>
      </c>
      <c r="C15" s="1262">
        <v>30</v>
      </c>
      <c r="D15" s="1263"/>
      <c r="E15" s="1268"/>
      <c r="F15" s="1599">
        <v>16</v>
      </c>
      <c r="G15" s="1602" t="s">
        <v>50</v>
      </c>
      <c r="H15" s="1274"/>
      <c r="I15" s="1278"/>
      <c r="J15" s="1600"/>
      <c r="K15" s="1278"/>
    </row>
    <row r="16" spans="1:11" s="1270" customFormat="1" ht="18" customHeight="1" x14ac:dyDescent="0.35">
      <c r="A16" s="1272">
        <v>7</v>
      </c>
      <c r="B16" s="1267" t="s">
        <v>51</v>
      </c>
      <c r="C16" s="1262"/>
      <c r="D16" s="1263"/>
      <c r="E16" s="1268"/>
      <c r="F16" s="1261"/>
      <c r="G16" s="1261" t="s">
        <v>52</v>
      </c>
      <c r="H16" s="1274"/>
      <c r="I16" s="1278"/>
      <c r="J16" s="1600">
        <v>68</v>
      </c>
      <c r="K16" s="1278"/>
    </row>
    <row r="17" spans="1:11" s="1270" customFormat="1" ht="18" customHeight="1" x14ac:dyDescent="0.35">
      <c r="A17" s="1275"/>
      <c r="B17" s="1270" t="s">
        <v>53</v>
      </c>
      <c r="C17" s="1262">
        <v>32</v>
      </c>
      <c r="D17" s="1263"/>
      <c r="E17" s="1268"/>
      <c r="F17" s="1261"/>
      <c r="G17" s="1601" t="s">
        <v>54</v>
      </c>
      <c r="H17" s="1599"/>
      <c r="I17" s="1278"/>
      <c r="J17" s="1600">
        <v>80</v>
      </c>
      <c r="K17" s="1278"/>
    </row>
    <row r="18" spans="1:11" s="1270" customFormat="1" ht="18" customHeight="1" x14ac:dyDescent="0.35">
      <c r="A18" s="1275"/>
      <c r="B18" s="1270" t="s">
        <v>55</v>
      </c>
      <c r="C18" s="1273">
        <v>34</v>
      </c>
      <c r="D18" s="1263"/>
      <c r="E18" s="1268"/>
      <c r="F18" s="1261"/>
      <c r="G18" s="1601" t="s">
        <v>56</v>
      </c>
      <c r="H18" s="1274"/>
      <c r="I18" s="1278"/>
      <c r="J18" s="1600">
        <v>81</v>
      </c>
      <c r="K18" s="1278"/>
    </row>
    <row r="19" spans="1:11" s="1270" customFormat="1" ht="18" customHeight="1" x14ac:dyDescent="0.35">
      <c r="A19" s="1269">
        <v>8</v>
      </c>
      <c r="B19" s="1267" t="s">
        <v>57</v>
      </c>
      <c r="C19" s="1261"/>
      <c r="D19" s="1261"/>
      <c r="E19" s="1268"/>
      <c r="F19" s="1261"/>
      <c r="G19" s="1601" t="s">
        <v>58</v>
      </c>
      <c r="H19" s="1274"/>
      <c r="I19" s="1278"/>
      <c r="J19" s="1600">
        <v>84</v>
      </c>
      <c r="K19" s="1278"/>
    </row>
    <row r="20" spans="1:11" s="1270" customFormat="1" ht="18" customHeight="1" x14ac:dyDescent="0.35">
      <c r="A20" s="1265"/>
      <c r="B20" s="1270" t="s">
        <v>59</v>
      </c>
      <c r="C20" s="1262">
        <v>42</v>
      </c>
      <c r="D20" s="1261"/>
      <c r="E20" s="1268"/>
      <c r="F20" s="1599">
        <v>17</v>
      </c>
      <c r="G20" s="1598" t="s">
        <v>60</v>
      </c>
      <c r="H20" s="1274"/>
      <c r="I20" s="1278"/>
      <c r="J20" s="1600">
        <v>87</v>
      </c>
      <c r="K20" s="1278"/>
    </row>
    <row r="21" spans="1:11" s="1270" customFormat="1" ht="18" customHeight="1" x14ac:dyDescent="0.35">
      <c r="A21" s="1265"/>
      <c r="C21" s="1262"/>
      <c r="D21" s="1261"/>
      <c r="E21" s="1268"/>
      <c r="F21" s="1599">
        <v>18</v>
      </c>
      <c r="G21" s="1599" t="s">
        <v>61</v>
      </c>
      <c r="H21" s="1279"/>
      <c r="I21" s="1278"/>
      <c r="J21" s="1600">
        <v>97</v>
      </c>
      <c r="K21" s="1278"/>
    </row>
    <row r="22" spans="1:11" s="1270" customFormat="1" ht="18" customHeight="1" x14ac:dyDescent="0.35">
      <c r="A22" s="1269">
        <v>9</v>
      </c>
      <c r="B22" s="667" t="s">
        <v>62</v>
      </c>
      <c r="E22" s="1268"/>
      <c r="F22" s="1599">
        <v>19</v>
      </c>
      <c r="G22" s="1599" t="s">
        <v>63</v>
      </c>
      <c r="H22" s="1279"/>
      <c r="I22" s="1278"/>
      <c r="J22" s="1600">
        <v>99</v>
      </c>
      <c r="K22" s="1278"/>
    </row>
    <row r="23" spans="1:11" s="1270" customFormat="1" ht="18" customHeight="1" x14ac:dyDescent="0.35">
      <c r="A23" s="1269"/>
      <c r="B23" s="1271" t="s">
        <v>64</v>
      </c>
      <c r="C23" s="1273">
        <v>43</v>
      </c>
      <c r="D23" s="1263"/>
      <c r="E23" s="1268"/>
      <c r="F23" s="1599">
        <v>20</v>
      </c>
      <c r="G23" s="1599" t="s">
        <v>2756</v>
      </c>
      <c r="H23" s="1279"/>
      <c r="I23" s="1278"/>
      <c r="J23" s="1600"/>
      <c r="K23" s="1278"/>
    </row>
    <row r="24" spans="1:11" s="1270" customFormat="1" ht="18" customHeight="1" x14ac:dyDescent="0.35">
      <c r="A24" s="1269"/>
      <c r="B24" s="939" t="s">
        <v>66</v>
      </c>
      <c r="C24" s="1273">
        <v>44</v>
      </c>
      <c r="D24" s="1263"/>
      <c r="E24" s="1268"/>
      <c r="F24" s="1599"/>
      <c r="G24" s="1271" t="s">
        <v>2758</v>
      </c>
      <c r="H24" s="1279"/>
      <c r="I24" s="1278"/>
      <c r="J24" s="1600">
        <v>101</v>
      </c>
      <c r="K24" s="1278"/>
    </row>
    <row r="25" spans="1:11" s="1270" customFormat="1" ht="18" customHeight="1" x14ac:dyDescent="0.35">
      <c r="A25" s="1273"/>
      <c r="B25" s="939" t="s">
        <v>68</v>
      </c>
      <c r="C25" s="1474">
        <v>45</v>
      </c>
      <c r="D25" s="1475"/>
      <c r="E25" s="1268"/>
      <c r="F25" s="1599"/>
      <c r="G25" s="939" t="s">
        <v>2757</v>
      </c>
      <c r="H25" s="1279"/>
      <c r="I25" s="1278"/>
      <c r="J25" s="1600">
        <v>102</v>
      </c>
      <c r="K25" s="1278"/>
    </row>
    <row r="26" spans="1:11" s="1270" customFormat="1" ht="18" customHeight="1" x14ac:dyDescent="0.35">
      <c r="A26" s="1273"/>
      <c r="B26" s="1276" t="s">
        <v>70</v>
      </c>
      <c r="C26" s="1474">
        <v>46</v>
      </c>
      <c r="D26" s="1475"/>
      <c r="E26" s="1268"/>
      <c r="F26" s="1599"/>
      <c r="G26" s="939" t="s">
        <v>2759</v>
      </c>
      <c r="H26" s="1279"/>
      <c r="I26" s="1278"/>
      <c r="J26" s="1600">
        <v>103</v>
      </c>
      <c r="K26" s="1278"/>
    </row>
    <row r="27" spans="1:11" s="1270" customFormat="1" ht="18" customHeight="1" x14ac:dyDescent="0.35">
      <c r="A27" s="1273"/>
      <c r="B27" s="1276" t="s">
        <v>71</v>
      </c>
      <c r="C27" s="1474">
        <v>47</v>
      </c>
      <c r="D27" s="1475"/>
      <c r="E27" s="1268"/>
      <c r="F27" s="1599"/>
      <c r="G27" s="1602" t="s">
        <v>65</v>
      </c>
      <c r="H27" s="1603"/>
      <c r="I27" s="1278"/>
      <c r="J27" s="1600">
        <v>104</v>
      </c>
      <c r="K27" s="888"/>
    </row>
    <row r="28" spans="1:11" s="1270" customFormat="1" ht="18" customHeight="1" x14ac:dyDescent="0.35">
      <c r="A28" s="1273"/>
      <c r="B28" s="1276" t="s">
        <v>72</v>
      </c>
      <c r="C28" s="1275">
        <v>48</v>
      </c>
      <c r="D28" s="1475"/>
      <c r="E28" s="1268"/>
      <c r="F28" s="1599"/>
      <c r="G28" s="1602" t="s">
        <v>67</v>
      </c>
      <c r="H28" s="1278"/>
      <c r="I28" s="1278"/>
      <c r="J28" s="1600">
        <v>105</v>
      </c>
      <c r="K28" s="888"/>
    </row>
    <row r="29" spans="1:11" s="1270" customFormat="1" ht="18" customHeight="1" x14ac:dyDescent="0.35">
      <c r="A29" s="1273"/>
      <c r="B29" s="1276"/>
      <c r="C29" s="1275"/>
      <c r="D29" s="1475"/>
      <c r="E29" s="1268"/>
      <c r="F29" s="1599"/>
      <c r="G29" s="1602" t="s">
        <v>69</v>
      </c>
      <c r="H29" s="1278"/>
      <c r="I29" s="1278"/>
      <c r="J29" s="1600">
        <v>106</v>
      </c>
      <c r="K29" s="888"/>
    </row>
    <row r="30" spans="1:11" s="1270" customFormat="1" ht="18" customHeight="1" x14ac:dyDescent="0.35">
      <c r="A30" s="1273"/>
      <c r="B30" s="1276"/>
      <c r="C30" s="1275"/>
      <c r="D30" s="1475"/>
      <c r="E30" s="1268"/>
      <c r="F30" s="1599"/>
      <c r="G30" s="1602" t="s">
        <v>2760</v>
      </c>
      <c r="H30" s="1278"/>
      <c r="I30" s="1278"/>
      <c r="J30" s="1600">
        <v>107</v>
      </c>
      <c r="K30" s="888"/>
    </row>
    <row r="31" spans="1:11" s="1270" customFormat="1" ht="18" customHeight="1" x14ac:dyDescent="0.35">
      <c r="C31" s="1275"/>
      <c r="D31" s="1272"/>
      <c r="E31" s="1268"/>
      <c r="F31" s="1599"/>
      <c r="G31" s="1602"/>
      <c r="H31" s="1278"/>
      <c r="I31" s="1278"/>
      <c r="J31" s="1600"/>
      <c r="K31" s="888"/>
    </row>
    <row r="32" spans="1:11" s="888" customFormat="1" ht="18" customHeight="1" x14ac:dyDescent="0.35">
      <c r="A32" s="1270"/>
      <c r="B32" s="1270"/>
      <c r="C32" s="1275"/>
      <c r="D32" s="1279"/>
      <c r="E32" s="1476"/>
      <c r="F32" s="1604"/>
      <c r="G32" s="1278"/>
      <c r="H32" s="1278"/>
      <c r="I32" s="1278"/>
      <c r="J32" s="1600"/>
    </row>
    <row r="33" spans="1:10" s="888" customFormat="1" ht="18" customHeight="1" x14ac:dyDescent="0.35">
      <c r="A33" s="1270"/>
      <c r="B33" s="1270"/>
      <c r="C33" s="1275"/>
      <c r="D33" s="1279"/>
      <c r="E33" s="1476"/>
      <c r="F33" s="1269"/>
      <c r="G33" s="1278"/>
      <c r="H33" s="1278"/>
      <c r="I33" s="1278"/>
      <c r="J33" s="1262"/>
    </row>
    <row r="34" spans="1:10" s="888" customFormat="1" ht="18" customHeight="1" x14ac:dyDescent="0.35">
      <c r="A34" s="1275"/>
      <c r="B34" s="1277"/>
      <c r="C34" s="1275"/>
      <c r="D34" s="1279"/>
      <c r="E34" s="1270"/>
      <c r="F34" s="1477"/>
      <c r="G34" s="1278"/>
      <c r="H34" s="1278"/>
      <c r="I34" s="1278"/>
      <c r="J34" s="1262"/>
    </row>
    <row r="35" spans="1:10" s="888" customFormat="1" ht="18" customHeight="1" x14ac:dyDescent="0.35">
      <c r="A35" s="1275"/>
      <c r="B35" s="1270"/>
      <c r="C35" s="1275"/>
      <c r="D35" s="1279"/>
      <c r="E35" s="1278"/>
      <c r="F35" s="1477"/>
      <c r="G35" s="1278"/>
      <c r="H35" s="1278"/>
      <c r="I35" s="1278"/>
      <c r="J35" s="1262"/>
    </row>
    <row r="36" spans="1:10" s="888" customFormat="1" x14ac:dyDescent="0.35">
      <c r="A36" s="1275"/>
      <c r="B36" s="1270"/>
      <c r="C36" s="1275"/>
      <c r="D36" s="1279"/>
      <c r="E36" s="1278"/>
      <c r="F36" s="1477"/>
      <c r="G36" s="1278"/>
      <c r="H36" s="1278"/>
      <c r="I36" s="1278"/>
      <c r="J36" s="1262"/>
    </row>
    <row r="37" spans="1:10" s="888" customFormat="1" x14ac:dyDescent="0.35">
      <c r="A37" s="1275"/>
      <c r="B37" s="1270"/>
      <c r="C37" s="1275"/>
      <c r="D37" s="1279"/>
      <c r="E37" s="1278"/>
      <c r="F37" s="1477"/>
      <c r="G37" s="1278"/>
      <c r="H37" s="1278"/>
      <c r="I37" s="1278"/>
      <c r="J37" s="1262"/>
    </row>
    <row r="38" spans="1:10" s="888" customFormat="1" ht="14.25" customHeight="1" x14ac:dyDescent="0.35">
      <c r="A38" s="1157"/>
      <c r="B38" s="1278"/>
      <c r="C38" s="1275"/>
      <c r="D38" s="1279"/>
      <c r="E38" s="1278"/>
      <c r="F38" s="1265"/>
      <c r="G38" s="1278"/>
      <c r="H38" s="1278"/>
      <c r="I38" s="1278"/>
      <c r="J38" s="1262"/>
    </row>
    <row r="39" spans="1:10" s="888" customFormat="1" ht="15" customHeight="1" x14ac:dyDescent="0.35">
      <c r="A39" s="1260"/>
      <c r="B39" s="1277"/>
      <c r="C39" s="1275"/>
      <c r="D39" s="1279"/>
      <c r="E39" s="1278"/>
      <c r="F39" s="1265"/>
      <c r="G39" s="1278"/>
      <c r="H39" s="1278"/>
      <c r="I39" s="1278"/>
      <c r="J39" s="1262"/>
    </row>
    <row r="40" spans="1:10" s="888" customFormat="1" x14ac:dyDescent="0.35">
      <c r="A40" s="1260"/>
      <c r="B40" s="1277"/>
      <c r="C40" s="1275"/>
      <c r="D40" s="1279"/>
      <c r="E40" s="1278"/>
      <c r="F40" s="1265"/>
      <c r="G40" s="1278"/>
      <c r="H40" s="1278"/>
      <c r="I40" s="1278"/>
      <c r="J40" s="1262"/>
    </row>
    <row r="41" spans="1:10" s="888" customFormat="1" x14ac:dyDescent="0.35">
      <c r="A41" s="1157"/>
      <c r="B41" s="1278"/>
      <c r="C41" s="1275"/>
      <c r="D41" s="1279"/>
      <c r="E41" s="1278"/>
      <c r="F41" s="1265"/>
      <c r="G41" s="1278"/>
      <c r="H41" s="1278"/>
      <c r="I41" s="1278"/>
      <c r="J41" s="1262"/>
    </row>
    <row r="42" spans="1:10" s="888" customFormat="1" x14ac:dyDescent="0.35">
      <c r="A42" s="1157"/>
      <c r="B42" s="1278"/>
      <c r="C42" s="1275"/>
      <c r="D42" s="1279"/>
      <c r="E42" s="1278"/>
      <c r="F42" s="1265"/>
      <c r="G42" s="1278"/>
      <c r="H42" s="1278"/>
      <c r="I42" s="1278"/>
      <c r="J42" s="1262"/>
    </row>
    <row r="43" spans="1:10" s="888" customFormat="1" x14ac:dyDescent="0.35">
      <c r="A43" s="1157"/>
      <c r="B43" s="1278"/>
      <c r="C43" s="1275"/>
      <c r="D43" s="1279"/>
      <c r="E43" s="1278"/>
      <c r="F43" s="1265"/>
      <c r="G43" s="1278"/>
      <c r="H43" s="1278"/>
      <c r="I43" s="1278"/>
      <c r="J43" s="1262"/>
    </row>
    <row r="44" spans="1:10" s="888" customFormat="1" x14ac:dyDescent="0.35">
      <c r="A44" s="1157"/>
      <c r="B44" s="1278"/>
      <c r="C44" s="1275"/>
      <c r="D44" s="1279"/>
      <c r="E44" s="1278"/>
      <c r="F44" s="1265"/>
      <c r="G44" s="1278"/>
      <c r="H44" s="1278"/>
      <c r="I44" s="1278"/>
      <c r="J44" s="1262"/>
    </row>
    <row r="45" spans="1:10" s="888" customFormat="1" x14ac:dyDescent="0.35">
      <c r="A45" s="1279"/>
      <c r="B45" s="1278"/>
      <c r="C45" s="1275"/>
      <c r="D45" s="1279"/>
      <c r="E45" s="1278"/>
      <c r="F45" s="1265"/>
      <c r="G45" s="1278"/>
      <c r="H45" s="1278"/>
      <c r="I45" s="1278"/>
      <c r="J45" s="1262"/>
    </row>
    <row r="46" spans="1:10" s="888" customFormat="1" x14ac:dyDescent="0.35">
      <c r="A46" s="1260"/>
      <c r="B46" s="1278"/>
      <c r="C46" s="1275"/>
      <c r="D46" s="1279"/>
      <c r="E46" s="1278"/>
      <c r="F46" s="1265"/>
      <c r="G46" s="1278"/>
      <c r="H46" s="1278"/>
      <c r="I46" s="1278"/>
      <c r="J46" s="1262"/>
    </row>
    <row r="47" spans="1:10" s="888" customFormat="1" x14ac:dyDescent="0.35">
      <c r="A47" s="1260"/>
      <c r="B47" s="1278"/>
      <c r="C47" s="1275"/>
      <c r="D47" s="1279"/>
      <c r="E47" s="1278"/>
      <c r="F47" s="1265"/>
      <c r="G47" s="1278"/>
      <c r="H47" s="1278"/>
      <c r="I47" s="1278"/>
      <c r="J47" s="1262"/>
    </row>
    <row r="48" spans="1:10" s="888" customFormat="1" x14ac:dyDescent="0.35">
      <c r="A48" s="1260"/>
      <c r="B48" s="1278"/>
      <c r="C48" s="1275"/>
      <c r="D48" s="1279"/>
      <c r="E48" s="1278"/>
      <c r="F48" s="1265"/>
      <c r="G48" s="1278"/>
      <c r="H48" s="1278"/>
      <c r="I48" s="1278"/>
      <c r="J48" s="1262"/>
    </row>
    <row r="49" spans="1:10" s="888" customFormat="1" x14ac:dyDescent="0.35">
      <c r="A49" s="1260"/>
      <c r="B49" s="1278"/>
      <c r="C49" s="1275"/>
      <c r="D49" s="1279"/>
      <c r="E49" s="1278"/>
      <c r="F49" s="1265"/>
      <c r="G49" s="1278"/>
      <c r="H49" s="1278"/>
      <c r="I49" s="1278"/>
      <c r="J49" s="1262"/>
    </row>
    <row r="50" spans="1:10" s="888" customFormat="1" x14ac:dyDescent="0.35">
      <c r="A50" s="1260"/>
      <c r="B50" s="1278"/>
      <c r="C50" s="1275"/>
      <c r="D50" s="1279"/>
      <c r="E50" s="1278"/>
      <c r="F50" s="1265"/>
      <c r="G50" s="1278"/>
      <c r="H50" s="1278"/>
      <c r="I50" s="1278"/>
      <c r="J50" s="1262"/>
    </row>
    <row r="51" spans="1:10" s="888" customFormat="1" x14ac:dyDescent="0.35">
      <c r="A51" s="1260"/>
      <c r="B51" s="1278"/>
      <c r="C51" s="1275"/>
      <c r="D51" s="1279"/>
      <c r="E51" s="1278"/>
      <c r="F51" s="1265"/>
      <c r="G51" s="1278"/>
      <c r="H51" s="1278"/>
      <c r="I51" s="1278"/>
      <c r="J51" s="1262"/>
    </row>
    <row r="52" spans="1:10" s="888" customFormat="1" x14ac:dyDescent="0.35">
      <c r="A52" s="1260"/>
      <c r="B52" s="1278"/>
      <c r="C52" s="1275"/>
      <c r="D52" s="1279"/>
      <c r="E52" s="1278"/>
      <c r="F52" s="1265"/>
      <c r="G52" s="1278"/>
      <c r="H52" s="1278"/>
      <c r="I52" s="1278"/>
      <c r="J52" s="1262"/>
    </row>
    <row r="53" spans="1:10" s="888" customFormat="1" x14ac:dyDescent="0.35">
      <c r="A53" s="1260"/>
      <c r="B53" s="1278"/>
      <c r="C53" s="1275"/>
      <c r="D53" s="1279"/>
      <c r="E53" s="1278"/>
      <c r="F53" s="1265"/>
      <c r="G53" s="1278"/>
      <c r="H53" s="1278"/>
      <c r="I53" s="1278"/>
      <c r="J53" s="1262"/>
    </row>
    <row r="54" spans="1:10" s="888" customFormat="1" x14ac:dyDescent="0.35">
      <c r="A54" s="1260"/>
      <c r="B54" s="1278"/>
      <c r="C54" s="1275"/>
      <c r="D54" s="1279"/>
      <c r="E54" s="1278"/>
      <c r="F54" s="1265"/>
      <c r="G54" s="1278"/>
      <c r="H54" s="1278"/>
      <c r="I54" s="1278"/>
      <c r="J54" s="1262"/>
    </row>
    <row r="55" spans="1:10" s="888" customFormat="1" x14ac:dyDescent="0.35">
      <c r="A55" s="1260"/>
      <c r="B55" s="1278"/>
      <c r="C55" s="1275"/>
      <c r="D55" s="1279"/>
      <c r="E55" s="1278"/>
      <c r="F55" s="1265"/>
      <c r="G55" s="1278"/>
      <c r="H55" s="1278"/>
      <c r="I55" s="1278"/>
      <c r="J55" s="1262"/>
    </row>
    <row r="56" spans="1:10" s="888" customFormat="1" x14ac:dyDescent="0.35">
      <c r="A56" s="1260"/>
      <c r="B56" s="1278"/>
      <c r="C56" s="1275"/>
      <c r="D56" s="1279"/>
      <c r="E56" s="1278"/>
      <c r="F56" s="1265"/>
      <c r="G56" s="1278"/>
      <c r="H56" s="1278"/>
      <c r="I56" s="1278"/>
      <c r="J56" s="1262"/>
    </row>
    <row r="57" spans="1:10" s="888" customFormat="1" x14ac:dyDescent="0.35">
      <c r="A57" s="1260"/>
      <c r="B57" s="1278"/>
      <c r="C57" s="1275"/>
      <c r="D57" s="1279"/>
      <c r="E57" s="1278"/>
      <c r="F57" s="1265"/>
      <c r="G57" s="1278"/>
      <c r="H57" s="1278"/>
      <c r="I57" s="1278"/>
      <c r="J57" s="1262"/>
    </row>
    <row r="58" spans="1:10" s="888" customFormat="1" x14ac:dyDescent="0.35">
      <c r="A58" s="1260"/>
      <c r="B58" s="1278"/>
      <c r="C58" s="1275"/>
      <c r="D58" s="1279"/>
      <c r="E58" s="1278"/>
      <c r="F58" s="1265"/>
      <c r="G58" s="1278"/>
      <c r="H58" s="1278"/>
      <c r="I58" s="1278"/>
      <c r="J58" s="1262"/>
    </row>
    <row r="59" spans="1:10" s="888" customFormat="1" x14ac:dyDescent="0.35">
      <c r="A59" s="1260"/>
      <c r="B59" s="1278"/>
      <c r="C59" s="1275"/>
      <c r="D59" s="1279"/>
      <c r="E59" s="1278"/>
      <c r="F59" s="1265"/>
      <c r="G59" s="1278"/>
      <c r="H59" s="1278"/>
      <c r="I59" s="1278"/>
      <c r="J59" s="1262"/>
    </row>
    <row r="60" spans="1:10" s="888" customFormat="1" x14ac:dyDescent="0.35">
      <c r="A60" s="1260"/>
      <c r="B60" s="1278"/>
      <c r="C60" s="1275"/>
      <c r="D60" s="1279"/>
      <c r="E60" s="1278"/>
      <c r="F60" s="1265"/>
      <c r="G60" s="1278"/>
      <c r="H60" s="1278"/>
      <c r="I60" s="1278"/>
      <c r="J60" s="1262"/>
    </row>
    <row r="61" spans="1:10" s="888" customFormat="1" x14ac:dyDescent="0.35">
      <c r="A61" s="1260"/>
      <c r="B61" s="1278"/>
      <c r="C61" s="1275"/>
      <c r="D61" s="1279"/>
      <c r="E61" s="1278"/>
      <c r="F61" s="1265"/>
      <c r="G61" s="1278"/>
      <c r="H61" s="1278"/>
      <c r="I61" s="1278"/>
      <c r="J61" s="1262"/>
    </row>
    <row r="62" spans="1:10" s="888" customFormat="1" x14ac:dyDescent="0.35">
      <c r="A62" s="1260"/>
      <c r="B62" s="1278"/>
      <c r="C62" s="1275"/>
      <c r="D62" s="1279"/>
      <c r="E62" s="1278"/>
      <c r="F62" s="1265"/>
      <c r="G62" s="1278"/>
      <c r="H62" s="1278"/>
      <c r="I62" s="1278"/>
      <c r="J62" s="1262"/>
    </row>
    <row r="63" spans="1:10" s="888" customFormat="1" x14ac:dyDescent="0.35">
      <c r="A63" s="1260"/>
      <c r="B63" s="1278"/>
      <c r="C63" s="1275"/>
      <c r="D63" s="1279"/>
      <c r="E63" s="1278"/>
      <c r="F63" s="1265"/>
      <c r="G63" s="1278"/>
      <c r="H63" s="1278"/>
      <c r="I63" s="1278"/>
      <c r="J63" s="1262"/>
    </row>
    <row r="64" spans="1:10" s="888" customFormat="1" x14ac:dyDescent="0.35">
      <c r="A64" s="1260"/>
      <c r="B64" s="1278"/>
      <c r="C64" s="1275"/>
      <c r="D64" s="1279"/>
      <c r="E64" s="1278"/>
      <c r="F64" s="1265"/>
      <c r="G64" s="1278"/>
      <c r="H64" s="1278"/>
      <c r="I64" s="1278"/>
      <c r="J64" s="1262"/>
    </row>
    <row r="65" spans="1:10" s="888" customFormat="1" x14ac:dyDescent="0.35">
      <c r="A65" s="1260"/>
      <c r="B65" s="1278"/>
      <c r="C65" s="1275"/>
      <c r="D65" s="1279"/>
      <c r="E65" s="1278"/>
      <c r="F65" s="1265"/>
      <c r="G65" s="1278"/>
      <c r="H65" s="1278"/>
      <c r="I65" s="1278"/>
      <c r="J65" s="1262"/>
    </row>
    <row r="66" spans="1:10" s="888" customFormat="1" x14ac:dyDescent="0.35">
      <c r="A66" s="1260"/>
      <c r="B66" s="1278"/>
      <c r="C66" s="1275"/>
      <c r="D66" s="1279"/>
      <c r="E66" s="1278"/>
      <c r="F66" s="1265"/>
      <c r="G66" s="1278"/>
      <c r="H66" s="1278"/>
      <c r="I66" s="1278"/>
      <c r="J66" s="1262"/>
    </row>
    <row r="67" spans="1:10" s="888" customFormat="1" x14ac:dyDescent="0.35">
      <c r="A67" s="1260"/>
      <c r="B67" s="1278"/>
      <c r="C67" s="1275"/>
      <c r="D67" s="1279"/>
      <c r="E67" s="1278"/>
      <c r="F67" s="1265"/>
      <c r="G67" s="1278"/>
      <c r="H67" s="1278"/>
      <c r="I67" s="1278"/>
      <c r="J67" s="1262"/>
    </row>
    <row r="68" spans="1:10" s="888" customFormat="1" x14ac:dyDescent="0.35">
      <c r="A68" s="1260"/>
      <c r="B68" s="1278"/>
      <c r="C68" s="1275"/>
      <c r="D68" s="1279"/>
      <c r="E68" s="1278"/>
      <c r="F68" s="1265"/>
      <c r="G68" s="1278"/>
      <c r="H68" s="1278"/>
      <c r="I68" s="1278"/>
      <c r="J68" s="1262"/>
    </row>
    <row r="69" spans="1:10" s="888" customFormat="1" x14ac:dyDescent="0.35">
      <c r="A69" s="1260"/>
      <c r="B69" s="1278"/>
      <c r="C69" s="1275"/>
      <c r="D69" s="1279"/>
      <c r="E69" s="1278"/>
      <c r="F69" s="1265"/>
      <c r="G69" s="1278"/>
      <c r="H69" s="1278"/>
      <c r="I69" s="1278"/>
      <c r="J69" s="1262"/>
    </row>
    <row r="70" spans="1:10" s="888" customFormat="1" x14ac:dyDescent="0.35">
      <c r="A70" s="1260"/>
      <c r="B70" s="1278"/>
      <c r="C70" s="1275"/>
      <c r="D70" s="1279"/>
      <c r="E70" s="1278"/>
      <c r="F70" s="1265"/>
      <c r="G70" s="1278"/>
      <c r="H70" s="1278"/>
      <c r="I70" s="1278"/>
      <c r="J70" s="1262"/>
    </row>
    <row r="71" spans="1:10" s="888" customFormat="1" x14ac:dyDescent="0.35">
      <c r="A71" s="1260"/>
      <c r="B71" s="1278"/>
      <c r="C71" s="1275"/>
      <c r="D71" s="1279"/>
      <c r="E71" s="1278"/>
      <c r="F71" s="1265"/>
      <c r="G71" s="1278"/>
      <c r="H71" s="1278"/>
      <c r="I71" s="1278"/>
      <c r="J71" s="1262"/>
    </row>
    <row r="72" spans="1:10" s="888" customFormat="1" x14ac:dyDescent="0.35">
      <c r="A72" s="1260"/>
      <c r="B72" s="1278"/>
      <c r="C72" s="1275"/>
      <c r="D72" s="1279"/>
      <c r="E72" s="1278"/>
      <c r="F72" s="1265"/>
      <c r="G72" s="1278"/>
      <c r="H72" s="1278"/>
      <c r="I72" s="1278"/>
      <c r="J72" s="1262"/>
    </row>
    <row r="73" spans="1:10" s="888" customFormat="1" x14ac:dyDescent="0.35">
      <c r="A73" s="1260"/>
      <c r="B73" s="1278"/>
      <c r="C73" s="1275"/>
      <c r="D73" s="1279"/>
      <c r="E73" s="1278"/>
      <c r="F73" s="1265"/>
      <c r="G73" s="1278"/>
      <c r="H73" s="1278"/>
      <c r="I73" s="1278"/>
      <c r="J73" s="1262"/>
    </row>
    <row r="74" spans="1:10" s="888" customFormat="1" x14ac:dyDescent="0.35">
      <c r="A74" s="1260"/>
      <c r="B74" s="1278"/>
      <c r="C74" s="1275"/>
      <c r="D74" s="1279"/>
      <c r="E74" s="1278"/>
      <c r="F74" s="1265"/>
      <c r="G74" s="1278"/>
      <c r="H74" s="1278"/>
      <c r="I74" s="1278"/>
      <c r="J74" s="1262"/>
    </row>
    <row r="75" spans="1:10" s="888" customFormat="1" x14ac:dyDescent="0.35">
      <c r="A75" s="1260"/>
      <c r="B75" s="1278"/>
      <c r="C75" s="1275"/>
      <c r="D75" s="1279"/>
      <c r="E75" s="1278"/>
      <c r="F75" s="1265"/>
      <c r="G75" s="1278"/>
      <c r="H75" s="1278"/>
      <c r="I75" s="1278"/>
      <c r="J75" s="1262"/>
    </row>
    <row r="76" spans="1:10" s="888" customFormat="1" x14ac:dyDescent="0.35">
      <c r="A76" s="1260"/>
      <c r="B76" s="1278"/>
      <c r="C76" s="1275"/>
      <c r="D76" s="1279"/>
      <c r="E76" s="1278"/>
      <c r="F76" s="1265"/>
      <c r="G76" s="1278"/>
      <c r="H76" s="1278"/>
      <c r="I76" s="1278"/>
      <c r="J76" s="1262"/>
    </row>
    <row r="77" spans="1:10" s="888" customFormat="1" x14ac:dyDescent="0.35">
      <c r="A77" s="1260"/>
      <c r="B77" s="1278"/>
      <c r="C77" s="1275"/>
      <c r="D77" s="1279"/>
      <c r="E77" s="1278"/>
      <c r="F77" s="1265"/>
      <c r="G77" s="1278"/>
      <c r="H77" s="1278"/>
      <c r="I77" s="1278"/>
      <c r="J77" s="1262"/>
    </row>
    <row r="78" spans="1:10" s="888" customFormat="1" x14ac:dyDescent="0.35">
      <c r="A78" s="1260"/>
      <c r="B78" s="1278"/>
      <c r="C78" s="1275"/>
      <c r="D78" s="1279"/>
      <c r="E78" s="1278"/>
      <c r="F78" s="1265"/>
      <c r="G78" s="1278"/>
      <c r="H78" s="1278"/>
      <c r="I78" s="1278"/>
      <c r="J78" s="1262"/>
    </row>
    <row r="79" spans="1:10" s="888" customFormat="1" x14ac:dyDescent="0.35">
      <c r="A79" s="1260"/>
      <c r="B79" s="1278"/>
      <c r="C79" s="1275"/>
      <c r="D79" s="1279"/>
      <c r="E79" s="1278"/>
      <c r="F79" s="1265"/>
      <c r="G79" s="1278"/>
      <c r="H79" s="1278"/>
      <c r="I79" s="1278"/>
      <c r="J79" s="1262"/>
    </row>
    <row r="80" spans="1:10" s="888" customFormat="1" x14ac:dyDescent="0.35">
      <c r="A80" s="1260"/>
      <c r="B80" s="1278"/>
      <c r="C80" s="1275"/>
      <c r="D80" s="1279"/>
      <c r="E80" s="1278"/>
      <c r="F80" s="1265"/>
      <c r="G80" s="1278"/>
      <c r="H80" s="1278"/>
      <c r="I80" s="1278"/>
      <c r="J80" s="1262"/>
    </row>
    <row r="81" spans="1:10" s="888" customFormat="1" x14ac:dyDescent="0.35">
      <c r="A81" s="1260"/>
      <c r="B81" s="1278"/>
      <c r="C81" s="1275"/>
      <c r="D81" s="1279"/>
      <c r="E81" s="1278"/>
      <c r="F81" s="1265"/>
      <c r="G81" s="1278"/>
      <c r="H81" s="1278"/>
      <c r="I81" s="1278"/>
      <c r="J81" s="1262"/>
    </row>
    <row r="82" spans="1:10" s="888" customFormat="1" x14ac:dyDescent="0.35">
      <c r="A82" s="1260"/>
      <c r="B82" s="1278"/>
      <c r="C82" s="1275"/>
      <c r="D82" s="1279"/>
      <c r="E82" s="1278"/>
      <c r="F82" s="1265"/>
      <c r="G82" s="1278"/>
      <c r="H82" s="1278"/>
      <c r="I82" s="1278"/>
      <c r="J82" s="1262"/>
    </row>
    <row r="83" spans="1:10" s="888" customFormat="1" x14ac:dyDescent="0.35">
      <c r="A83" s="1260"/>
      <c r="B83" s="1278"/>
      <c r="C83" s="1275"/>
      <c r="D83" s="1279"/>
      <c r="E83" s="1278"/>
      <c r="F83" s="1265"/>
      <c r="G83" s="1278"/>
      <c r="H83" s="1278"/>
      <c r="I83" s="1278"/>
      <c r="J83" s="1262"/>
    </row>
    <row r="84" spans="1:10" s="888" customFormat="1" x14ac:dyDescent="0.35">
      <c r="A84" s="1260"/>
      <c r="B84" s="1278"/>
      <c r="C84" s="1275"/>
      <c r="D84" s="1279"/>
      <c r="E84" s="1278"/>
      <c r="F84" s="1265"/>
      <c r="G84" s="1278"/>
      <c r="H84" s="1278"/>
      <c r="I84" s="1278"/>
      <c r="J84" s="1262"/>
    </row>
    <row r="85" spans="1:10" s="888" customFormat="1" x14ac:dyDescent="0.35">
      <c r="A85" s="1260"/>
      <c r="B85" s="1278"/>
      <c r="C85" s="1275"/>
      <c r="D85" s="1279"/>
      <c r="E85" s="1278"/>
      <c r="F85" s="1265"/>
      <c r="G85" s="1278"/>
      <c r="H85" s="1278"/>
      <c r="I85" s="1278"/>
      <c r="J85" s="1262"/>
    </row>
    <row r="86" spans="1:10" s="888" customFormat="1" x14ac:dyDescent="0.35">
      <c r="A86" s="1260"/>
      <c r="B86" s="1278"/>
      <c r="C86" s="1275"/>
      <c r="D86" s="1279"/>
      <c r="E86" s="1278"/>
      <c r="F86" s="1265"/>
      <c r="G86" s="1278"/>
      <c r="H86" s="1278"/>
      <c r="I86" s="1278"/>
      <c r="J86" s="1262"/>
    </row>
    <row r="87" spans="1:10" s="888" customFormat="1" x14ac:dyDescent="0.35">
      <c r="A87" s="1260"/>
      <c r="B87" s="1278"/>
      <c r="C87" s="1275"/>
      <c r="D87" s="1279"/>
      <c r="E87" s="1278"/>
      <c r="F87" s="1265"/>
      <c r="G87" s="1278"/>
      <c r="H87" s="1278"/>
      <c r="I87" s="1278"/>
      <c r="J87" s="1262"/>
    </row>
    <row r="88" spans="1:10" s="888" customFormat="1" x14ac:dyDescent="0.35">
      <c r="A88" s="1260"/>
      <c r="B88" s="1278"/>
      <c r="C88" s="1275"/>
      <c r="D88" s="1279"/>
      <c r="E88" s="1278"/>
      <c r="F88" s="1265"/>
      <c r="G88" s="1278"/>
      <c r="H88" s="1278"/>
      <c r="I88" s="1278"/>
      <c r="J88" s="1262"/>
    </row>
    <row r="89" spans="1:10" s="888" customFormat="1" x14ac:dyDescent="0.35">
      <c r="A89" s="1260"/>
      <c r="B89" s="1278"/>
      <c r="C89" s="1275"/>
      <c r="D89" s="1279"/>
      <c r="E89" s="1278"/>
      <c r="F89" s="1265"/>
      <c r="G89" s="1278"/>
      <c r="H89" s="1278"/>
      <c r="I89" s="1278"/>
      <c r="J89" s="1262"/>
    </row>
    <row r="90" spans="1:10" s="888" customFormat="1" x14ac:dyDescent="0.35">
      <c r="A90" s="1260"/>
      <c r="B90" s="1278"/>
      <c r="C90" s="1275"/>
      <c r="D90" s="1279"/>
      <c r="E90" s="1278"/>
      <c r="F90" s="1265"/>
      <c r="G90" s="1278"/>
      <c r="H90" s="1278"/>
      <c r="I90" s="1278"/>
      <c r="J90" s="1262"/>
    </row>
    <row r="91" spans="1:10" s="888" customFormat="1" x14ac:dyDescent="0.35">
      <c r="A91" s="1260"/>
      <c r="B91" s="1278"/>
      <c r="C91" s="1275"/>
      <c r="D91" s="1279"/>
      <c r="E91" s="1278"/>
      <c r="F91" s="1265"/>
      <c r="G91" s="1278"/>
      <c r="H91" s="1278"/>
      <c r="I91" s="1278"/>
      <c r="J91" s="1262"/>
    </row>
    <row r="92" spans="1:10" s="888" customFormat="1" x14ac:dyDescent="0.35">
      <c r="A92" s="1260"/>
      <c r="B92" s="1278"/>
      <c r="C92" s="1275"/>
      <c r="D92" s="1279"/>
      <c r="E92" s="1278"/>
      <c r="F92" s="1265"/>
      <c r="G92" s="1278"/>
      <c r="H92" s="1278"/>
      <c r="I92" s="1278"/>
      <c r="J92" s="1262"/>
    </row>
    <row r="93" spans="1:10" s="888" customFormat="1" x14ac:dyDescent="0.35">
      <c r="A93" s="1260"/>
      <c r="B93" s="1278"/>
      <c r="C93" s="1275"/>
      <c r="D93" s="1279"/>
      <c r="E93" s="1278"/>
      <c r="F93" s="1265"/>
      <c r="G93" s="1278"/>
      <c r="H93" s="1278"/>
      <c r="I93" s="1278"/>
      <c r="J93" s="1262"/>
    </row>
    <row r="94" spans="1:10" s="888" customFormat="1" x14ac:dyDescent="0.35">
      <c r="A94" s="1260"/>
      <c r="B94" s="1278"/>
      <c r="C94" s="1275"/>
      <c r="D94" s="1279"/>
      <c r="E94" s="1278"/>
      <c r="F94" s="1265"/>
      <c r="G94" s="1278"/>
      <c r="H94" s="1278"/>
      <c r="I94" s="1278"/>
      <c r="J94" s="1262"/>
    </row>
    <row r="95" spans="1:10" s="888" customFormat="1" x14ac:dyDescent="0.35">
      <c r="A95" s="1260"/>
      <c r="B95" s="1278"/>
      <c r="C95" s="1275"/>
      <c r="D95" s="1279"/>
      <c r="E95" s="1278"/>
      <c r="F95" s="1265"/>
      <c r="G95" s="1278"/>
      <c r="H95" s="1278"/>
      <c r="I95" s="1278"/>
      <c r="J95" s="1262"/>
    </row>
    <row r="96" spans="1:10" s="888" customFormat="1" x14ac:dyDescent="0.35">
      <c r="A96" s="1260"/>
      <c r="B96" s="1278"/>
      <c r="C96" s="1275"/>
      <c r="D96" s="1279"/>
      <c r="E96" s="1278"/>
      <c r="F96" s="1265"/>
      <c r="G96" s="1278"/>
      <c r="H96" s="1278"/>
      <c r="I96" s="1278"/>
      <c r="J96" s="1262"/>
    </row>
    <row r="97" spans="1:10" s="888" customFormat="1" x14ac:dyDescent="0.35">
      <c r="A97" s="1260"/>
      <c r="B97" s="1278"/>
      <c r="C97" s="1275"/>
      <c r="D97" s="1279"/>
      <c r="E97" s="1278"/>
      <c r="F97" s="1265"/>
      <c r="G97" s="1278"/>
      <c r="H97" s="1278"/>
      <c r="I97" s="1278"/>
      <c r="J97" s="1262"/>
    </row>
    <row r="98" spans="1:10" s="888" customFormat="1" x14ac:dyDescent="0.35">
      <c r="A98" s="1260"/>
      <c r="B98" s="1278"/>
      <c r="C98" s="1275"/>
      <c r="D98" s="1279"/>
      <c r="E98" s="1278"/>
      <c r="F98" s="1265"/>
      <c r="G98" s="1278"/>
      <c r="H98" s="1278"/>
      <c r="I98" s="1278"/>
      <c r="J98" s="1262"/>
    </row>
    <row r="99" spans="1:10" s="888" customFormat="1" x14ac:dyDescent="0.35">
      <c r="A99" s="1260"/>
      <c r="B99" s="1278"/>
      <c r="C99" s="1275"/>
      <c r="D99" s="1279"/>
      <c r="E99" s="1278"/>
      <c r="F99" s="1265"/>
      <c r="G99" s="1278"/>
      <c r="H99" s="1278"/>
      <c r="I99" s="1278"/>
      <c r="J99" s="1262"/>
    </row>
    <row r="100" spans="1:10" s="888" customFormat="1" x14ac:dyDescent="0.35">
      <c r="A100" s="1260"/>
      <c r="B100" s="1278"/>
      <c r="C100" s="1275"/>
      <c r="D100" s="1279"/>
      <c r="E100" s="1278"/>
      <c r="F100" s="1265"/>
      <c r="G100" s="1278"/>
      <c r="H100" s="1278"/>
      <c r="I100" s="1278"/>
      <c r="J100" s="1262"/>
    </row>
    <row r="101" spans="1:10" s="888" customFormat="1" x14ac:dyDescent="0.35">
      <c r="A101" s="1260"/>
      <c r="B101" s="1278"/>
      <c r="C101" s="1275"/>
      <c r="D101" s="1279"/>
      <c r="E101" s="1278"/>
      <c r="F101" s="1265"/>
      <c r="G101" s="1278"/>
      <c r="H101" s="1278"/>
      <c r="I101" s="1278"/>
      <c r="J101" s="1262"/>
    </row>
    <row r="102" spans="1:10" s="888" customFormat="1" x14ac:dyDescent="0.35">
      <c r="A102" s="1260"/>
      <c r="B102" s="1278"/>
      <c r="C102" s="1275"/>
      <c r="D102" s="1279"/>
      <c r="E102" s="1278"/>
      <c r="F102" s="1265"/>
      <c r="G102" s="1278"/>
      <c r="H102" s="1278"/>
      <c r="I102" s="1278"/>
      <c r="J102" s="1262"/>
    </row>
    <row r="103" spans="1:10" s="888" customFormat="1" x14ac:dyDescent="0.35">
      <c r="A103" s="1260"/>
      <c r="B103" s="1278"/>
      <c r="C103" s="1275"/>
      <c r="D103" s="1279"/>
      <c r="E103" s="1278"/>
      <c r="F103" s="1265"/>
      <c r="G103" s="1278"/>
      <c r="H103" s="1278"/>
      <c r="I103" s="1278"/>
      <c r="J103" s="1262"/>
    </row>
    <row r="104" spans="1:10" s="888" customFormat="1" x14ac:dyDescent="0.35">
      <c r="A104" s="1260"/>
      <c r="B104" s="1278"/>
      <c r="C104" s="1275"/>
      <c r="D104" s="1279"/>
      <c r="E104" s="1278"/>
      <c r="F104" s="1265"/>
      <c r="G104" s="1278"/>
      <c r="H104" s="1278"/>
      <c r="I104" s="1278"/>
      <c r="J104" s="1262"/>
    </row>
    <row r="105" spans="1:10" s="888" customFormat="1" x14ac:dyDescent="0.35">
      <c r="A105" s="1260"/>
      <c r="B105" s="1278"/>
      <c r="C105" s="1275"/>
      <c r="D105" s="1279"/>
      <c r="E105" s="1278"/>
      <c r="F105" s="1265"/>
      <c r="G105" s="1278"/>
      <c r="H105" s="1278"/>
      <c r="I105" s="1278"/>
      <c r="J105" s="1262"/>
    </row>
    <row r="106" spans="1:10" s="888" customFormat="1" x14ac:dyDescent="0.35">
      <c r="A106" s="1260"/>
      <c r="B106" s="1278"/>
      <c r="C106" s="1275"/>
      <c r="D106" s="1279"/>
      <c r="E106" s="1278"/>
      <c r="F106" s="1265"/>
      <c r="G106" s="1278"/>
      <c r="H106" s="1278"/>
      <c r="I106" s="1278"/>
      <c r="J106" s="1262"/>
    </row>
    <row r="107" spans="1:10" s="888" customFormat="1" x14ac:dyDescent="0.35">
      <c r="A107" s="1260"/>
      <c r="B107" s="1278"/>
      <c r="C107" s="1275"/>
      <c r="D107" s="1279"/>
      <c r="E107" s="1278"/>
      <c r="F107" s="1265"/>
      <c r="G107" s="1278"/>
      <c r="H107" s="1278"/>
      <c r="I107" s="1278"/>
      <c r="J107" s="1262"/>
    </row>
    <row r="108" spans="1:10" s="888" customFormat="1" x14ac:dyDescent="0.35">
      <c r="A108" s="1260"/>
      <c r="B108" s="1278"/>
      <c r="C108" s="1275"/>
      <c r="D108" s="1279"/>
      <c r="E108" s="1278"/>
      <c r="F108" s="1265"/>
      <c r="G108" s="1278"/>
      <c r="H108" s="1278"/>
      <c r="I108" s="1278"/>
      <c r="J108" s="1262"/>
    </row>
    <row r="109" spans="1:10" s="888" customFormat="1" x14ac:dyDescent="0.35">
      <c r="A109" s="1260"/>
      <c r="B109" s="1278"/>
      <c r="C109" s="1275"/>
      <c r="D109" s="1279"/>
      <c r="E109" s="1278"/>
      <c r="F109" s="1265"/>
      <c r="G109" s="1278"/>
      <c r="H109" s="1278"/>
      <c r="I109" s="1278"/>
      <c r="J109" s="1262"/>
    </row>
    <row r="110" spans="1:10" s="888" customFormat="1" x14ac:dyDescent="0.35">
      <c r="A110" s="1260"/>
      <c r="B110" s="1278"/>
      <c r="C110" s="1275"/>
      <c r="D110" s="1279"/>
      <c r="E110" s="1278"/>
      <c r="F110" s="1265"/>
      <c r="G110" s="1278"/>
      <c r="H110" s="1278"/>
      <c r="I110" s="1278"/>
      <c r="J110" s="1262"/>
    </row>
    <row r="111" spans="1:10" s="888" customFormat="1" x14ac:dyDescent="0.35">
      <c r="A111" s="1260"/>
      <c r="B111" s="1278"/>
      <c r="C111" s="1275"/>
      <c r="D111" s="1279"/>
      <c r="E111" s="1278"/>
      <c r="F111" s="1265"/>
      <c r="G111" s="1278"/>
      <c r="H111" s="1278"/>
      <c r="I111" s="1278"/>
      <c r="J111" s="1262"/>
    </row>
    <row r="112" spans="1:10" s="888" customFormat="1" x14ac:dyDescent="0.35">
      <c r="A112" s="1260"/>
      <c r="B112" s="1278"/>
      <c r="C112" s="1275"/>
      <c r="D112" s="1279"/>
      <c r="E112" s="1278"/>
      <c r="F112" s="1265"/>
      <c r="G112" s="1278"/>
      <c r="H112" s="1278"/>
      <c r="I112" s="1278"/>
      <c r="J112" s="1262"/>
    </row>
    <row r="113" spans="1:10" s="888" customFormat="1" x14ac:dyDescent="0.35">
      <c r="A113" s="1260"/>
      <c r="B113" s="1278"/>
      <c r="C113" s="1275"/>
      <c r="D113" s="1279"/>
      <c r="E113" s="1278"/>
      <c r="F113" s="1265"/>
      <c r="G113" s="1278"/>
      <c r="H113" s="1278"/>
      <c r="I113" s="1278"/>
      <c r="J113" s="1262"/>
    </row>
    <row r="114" spans="1:10" s="888" customFormat="1" x14ac:dyDescent="0.35">
      <c r="A114" s="1260"/>
      <c r="B114" s="1278"/>
      <c r="C114" s="1275"/>
      <c r="D114" s="1279"/>
      <c r="E114" s="1278"/>
      <c r="F114" s="1265"/>
      <c r="G114" s="1278"/>
      <c r="H114" s="1278"/>
      <c r="I114" s="1278"/>
      <c r="J114" s="1262"/>
    </row>
    <row r="115" spans="1:10" s="888" customFormat="1" x14ac:dyDescent="0.35">
      <c r="A115" s="1260"/>
      <c r="B115" s="1278"/>
      <c r="C115" s="1275"/>
      <c r="D115" s="1279"/>
      <c r="E115" s="1278"/>
      <c r="F115" s="1265"/>
      <c r="G115" s="1278"/>
      <c r="H115" s="1278"/>
      <c r="I115" s="1278"/>
      <c r="J115" s="1262"/>
    </row>
    <row r="116" spans="1:10" s="888" customFormat="1" x14ac:dyDescent="0.35">
      <c r="A116" s="1260"/>
      <c r="B116" s="1278"/>
      <c r="C116" s="1275"/>
      <c r="D116" s="1279"/>
      <c r="E116" s="1278"/>
      <c r="F116" s="1265"/>
      <c r="G116" s="1278"/>
      <c r="H116" s="1278"/>
      <c r="I116" s="1278"/>
      <c r="J116" s="1262"/>
    </row>
    <row r="117" spans="1:10" s="888" customFormat="1" x14ac:dyDescent="0.35">
      <c r="A117" s="1260"/>
      <c r="B117" s="1278"/>
      <c r="C117" s="1275"/>
      <c r="D117" s="1279"/>
      <c r="E117" s="1278"/>
      <c r="F117" s="1265"/>
      <c r="G117" s="1278"/>
      <c r="H117" s="1278"/>
      <c r="I117" s="1278"/>
      <c r="J117" s="1262"/>
    </row>
    <row r="118" spans="1:10" s="888" customFormat="1" x14ac:dyDescent="0.35">
      <c r="A118" s="1260"/>
      <c r="B118" s="1278"/>
      <c r="C118" s="1275"/>
      <c r="D118" s="1279"/>
      <c r="E118" s="1278"/>
      <c r="F118" s="1265"/>
      <c r="G118" s="1278"/>
      <c r="H118" s="1278"/>
      <c r="I118" s="1278"/>
      <c r="J118" s="1262"/>
    </row>
    <row r="119" spans="1:10" s="888" customFormat="1" x14ac:dyDescent="0.35">
      <c r="A119" s="1260"/>
      <c r="B119" s="1278"/>
      <c r="C119" s="1275"/>
      <c r="D119" s="1279"/>
      <c r="E119" s="1278"/>
      <c r="F119" s="1265"/>
      <c r="G119" s="1278"/>
      <c r="H119" s="1278"/>
      <c r="I119" s="1278"/>
      <c r="J119" s="1262"/>
    </row>
    <row r="120" spans="1:10" s="888" customFormat="1" x14ac:dyDescent="0.35">
      <c r="A120" s="1260"/>
      <c r="B120" s="1278"/>
      <c r="C120" s="1275"/>
      <c r="D120" s="1279"/>
      <c r="E120" s="1278"/>
      <c r="F120" s="1265"/>
      <c r="G120" s="1278"/>
      <c r="H120" s="1278"/>
      <c r="I120" s="1278"/>
      <c r="J120" s="1262"/>
    </row>
    <row r="121" spans="1:10" s="888" customFormat="1" x14ac:dyDescent="0.35">
      <c r="A121" s="1260"/>
      <c r="B121" s="1278"/>
      <c r="C121" s="1275"/>
      <c r="D121" s="1279"/>
      <c r="E121" s="1278"/>
      <c r="F121" s="1265"/>
      <c r="G121" s="1278"/>
      <c r="H121" s="1278"/>
      <c r="I121" s="1278"/>
      <c r="J121" s="1262"/>
    </row>
    <row r="122" spans="1:10" s="888" customFormat="1" x14ac:dyDescent="0.35">
      <c r="A122" s="1260"/>
      <c r="B122" s="1278"/>
      <c r="C122" s="1275"/>
      <c r="D122" s="1279"/>
      <c r="E122" s="1278"/>
      <c r="F122" s="1265"/>
      <c r="G122" s="1278"/>
      <c r="H122" s="1278"/>
      <c r="I122" s="1278"/>
      <c r="J122" s="1262"/>
    </row>
    <row r="123" spans="1:10" s="888" customFormat="1" x14ac:dyDescent="0.35">
      <c r="A123" s="1260"/>
      <c r="B123" s="1278"/>
      <c r="C123" s="1275"/>
      <c r="D123" s="1279"/>
      <c r="E123" s="1278"/>
      <c r="F123" s="1265"/>
      <c r="G123" s="1278"/>
      <c r="H123" s="1278"/>
      <c r="I123" s="1278"/>
      <c r="J123" s="1262"/>
    </row>
    <row r="124" spans="1:10" s="888" customFormat="1" x14ac:dyDescent="0.35">
      <c r="A124" s="1260"/>
      <c r="B124" s="1278"/>
      <c r="C124" s="1275"/>
      <c r="D124" s="1279"/>
      <c r="E124" s="1278"/>
      <c r="F124" s="1265"/>
      <c r="G124" s="1278"/>
      <c r="H124" s="1278"/>
      <c r="I124" s="1278"/>
      <c r="J124" s="1262"/>
    </row>
    <row r="125" spans="1:10" s="888" customFormat="1" x14ac:dyDescent="0.35">
      <c r="A125" s="1260"/>
      <c r="B125" s="1278"/>
      <c r="C125" s="1275"/>
      <c r="D125" s="1279"/>
      <c r="E125" s="1278"/>
      <c r="F125" s="1265"/>
      <c r="G125" s="1278"/>
      <c r="H125" s="1278"/>
      <c r="I125" s="1278"/>
      <c r="J125" s="1262"/>
    </row>
    <row r="126" spans="1:10" s="888" customFormat="1" x14ac:dyDescent="0.35">
      <c r="A126" s="1260"/>
      <c r="B126" s="1278"/>
      <c r="C126" s="1275"/>
      <c r="D126" s="1279"/>
      <c r="E126" s="1278"/>
      <c r="F126" s="1265"/>
      <c r="G126" s="1278"/>
      <c r="H126" s="1278"/>
      <c r="I126" s="1278"/>
      <c r="J126" s="1262"/>
    </row>
    <row r="127" spans="1:10" s="888" customFormat="1" x14ac:dyDescent="0.35">
      <c r="A127" s="1260"/>
      <c r="B127" s="1278"/>
      <c r="C127" s="1275"/>
      <c r="D127" s="1279"/>
      <c r="E127" s="1278"/>
      <c r="F127" s="1265"/>
      <c r="G127" s="1278"/>
      <c r="H127" s="1278"/>
      <c r="I127" s="1278"/>
      <c r="J127" s="1262"/>
    </row>
    <row r="128" spans="1:10" s="888" customFormat="1" x14ac:dyDescent="0.35">
      <c r="A128" s="1260"/>
      <c r="B128" s="1278"/>
      <c r="C128" s="1275"/>
      <c r="D128" s="1279"/>
      <c r="E128" s="1278"/>
      <c r="F128" s="1265"/>
      <c r="G128" s="1278"/>
      <c r="H128" s="1278"/>
      <c r="I128" s="1278"/>
      <c r="J128" s="1262"/>
    </row>
    <row r="129" spans="1:10" s="888" customFormat="1" x14ac:dyDescent="0.35">
      <c r="A129" s="1260"/>
      <c r="B129" s="1278"/>
      <c r="C129" s="1275"/>
      <c r="D129" s="1279"/>
      <c r="E129" s="1278"/>
      <c r="F129" s="1265"/>
      <c r="G129" s="1278"/>
      <c r="H129" s="1278"/>
      <c r="I129" s="1278"/>
      <c r="J129" s="1262"/>
    </row>
    <row r="130" spans="1:10" s="888" customFormat="1" x14ac:dyDescent="0.35">
      <c r="A130" s="1260"/>
      <c r="B130" s="1278"/>
      <c r="C130" s="1275"/>
      <c r="D130" s="1279"/>
      <c r="E130" s="1278"/>
      <c r="F130" s="1265"/>
      <c r="G130" s="1278"/>
      <c r="H130" s="1278"/>
      <c r="I130" s="1278"/>
      <c r="J130" s="1262"/>
    </row>
    <row r="131" spans="1:10" s="888" customFormat="1" x14ac:dyDescent="0.35">
      <c r="A131" s="1260"/>
      <c r="B131" s="1278"/>
      <c r="C131" s="1275"/>
      <c r="D131" s="1279"/>
      <c r="E131" s="1278"/>
      <c r="F131" s="1265"/>
      <c r="G131" s="1278"/>
      <c r="H131" s="1278"/>
      <c r="I131" s="1278"/>
      <c r="J131" s="1262"/>
    </row>
    <row r="132" spans="1:10" s="888" customFormat="1" x14ac:dyDescent="0.35">
      <c r="A132" s="1260"/>
      <c r="B132" s="1278"/>
      <c r="C132" s="1275"/>
      <c r="D132" s="1279"/>
      <c r="E132" s="1278"/>
      <c r="F132" s="1265"/>
      <c r="G132" s="1278"/>
      <c r="H132" s="1278"/>
      <c r="I132" s="1278"/>
      <c r="J132" s="1262"/>
    </row>
    <row r="133" spans="1:10" s="888" customFormat="1" x14ac:dyDescent="0.35">
      <c r="A133" s="1260"/>
      <c r="B133" s="1278"/>
      <c r="C133" s="1275"/>
      <c r="D133" s="1279"/>
      <c r="E133" s="1278"/>
      <c r="F133" s="1265"/>
      <c r="G133" s="1278"/>
      <c r="H133" s="1278"/>
      <c r="I133" s="1278"/>
      <c r="J133" s="1262"/>
    </row>
    <row r="134" spans="1:10" s="888" customFormat="1" x14ac:dyDescent="0.35">
      <c r="A134" s="1260"/>
      <c r="B134" s="1278"/>
      <c r="C134" s="1275"/>
      <c r="D134" s="1279"/>
      <c r="E134" s="1278"/>
      <c r="F134" s="1265"/>
      <c r="G134" s="1278"/>
      <c r="H134" s="1278"/>
      <c r="I134" s="1278"/>
      <c r="J134" s="1262"/>
    </row>
    <row r="135" spans="1:10" s="888" customFormat="1" x14ac:dyDescent="0.35">
      <c r="A135" s="1260"/>
      <c r="B135" s="1278"/>
      <c r="C135" s="1275"/>
      <c r="D135" s="1279"/>
      <c r="E135" s="1278"/>
      <c r="F135" s="1265"/>
      <c r="G135" s="1278"/>
      <c r="H135" s="1278"/>
      <c r="I135" s="1278"/>
      <c r="J135" s="1262"/>
    </row>
    <row r="136" spans="1:10" s="888" customFormat="1" x14ac:dyDescent="0.35">
      <c r="A136" s="1260"/>
      <c r="B136" s="1278"/>
      <c r="C136" s="1275"/>
      <c r="D136" s="1279"/>
      <c r="E136" s="1278"/>
      <c r="F136" s="1265"/>
      <c r="G136" s="1278"/>
      <c r="H136" s="1278"/>
      <c r="I136" s="1278"/>
      <c r="J136" s="1262"/>
    </row>
    <row r="137" spans="1:10" s="888" customFormat="1" x14ac:dyDescent="0.35">
      <c r="A137" s="1260"/>
      <c r="B137" s="1278"/>
      <c r="C137" s="1275"/>
      <c r="D137" s="1279"/>
      <c r="E137" s="1278"/>
      <c r="F137" s="1265"/>
      <c r="G137" s="1278"/>
      <c r="H137" s="1278"/>
      <c r="I137" s="1278"/>
      <c r="J137" s="1262"/>
    </row>
    <row r="138" spans="1:10" s="888" customFormat="1" x14ac:dyDescent="0.35">
      <c r="A138" s="1260"/>
      <c r="B138" s="1278"/>
      <c r="C138" s="1275"/>
      <c r="D138" s="1279"/>
      <c r="E138" s="1278"/>
      <c r="F138" s="1265"/>
      <c r="G138" s="1278"/>
      <c r="H138" s="1278"/>
      <c r="I138" s="1278"/>
      <c r="J138" s="1262"/>
    </row>
    <row r="139" spans="1:10" s="888" customFormat="1" x14ac:dyDescent="0.35">
      <c r="A139" s="1260"/>
      <c r="B139" s="1278"/>
      <c r="C139" s="1275"/>
      <c r="D139" s="1279"/>
      <c r="E139" s="1278"/>
      <c r="F139" s="1265"/>
      <c r="G139" s="1278"/>
      <c r="H139" s="1278"/>
      <c r="I139" s="1278"/>
      <c r="J139" s="1262"/>
    </row>
    <row r="140" spans="1:10" s="888" customFormat="1" x14ac:dyDescent="0.35">
      <c r="A140" s="1260"/>
      <c r="B140" s="1278"/>
      <c r="C140" s="1275"/>
      <c r="D140" s="1279"/>
      <c r="E140" s="1278"/>
      <c r="F140" s="1265"/>
      <c r="G140" s="1278"/>
      <c r="H140" s="1278"/>
      <c r="I140" s="1278"/>
      <c r="J140" s="1262"/>
    </row>
    <row r="141" spans="1:10" s="888" customFormat="1" x14ac:dyDescent="0.35">
      <c r="A141" s="1260"/>
      <c r="B141" s="1278"/>
      <c r="C141" s="1275"/>
      <c r="D141" s="1279"/>
      <c r="E141" s="1278"/>
      <c r="F141" s="1265"/>
      <c r="G141" s="1278"/>
      <c r="H141" s="1278"/>
      <c r="I141" s="1278"/>
      <c r="J141" s="1262"/>
    </row>
    <row r="142" spans="1:10" s="888" customFormat="1" x14ac:dyDescent="0.35">
      <c r="A142" s="1260"/>
      <c r="B142" s="1278"/>
      <c r="C142" s="1275"/>
      <c r="D142" s="1279"/>
      <c r="E142" s="1278"/>
      <c r="F142" s="1265"/>
      <c r="G142" s="1278"/>
      <c r="H142" s="1278"/>
      <c r="I142" s="1278"/>
      <c r="J142" s="1262"/>
    </row>
    <row r="143" spans="1:10" s="888" customFormat="1" x14ac:dyDescent="0.35">
      <c r="A143" s="1260"/>
      <c r="B143" s="1278"/>
      <c r="C143" s="1275"/>
      <c r="D143" s="1279"/>
      <c r="E143" s="1278"/>
      <c r="F143" s="1265"/>
      <c r="G143" s="1278"/>
      <c r="H143" s="1278"/>
      <c r="I143" s="1278"/>
      <c r="J143" s="1262"/>
    </row>
    <row r="144" spans="1:10" s="888" customFormat="1" x14ac:dyDescent="0.35">
      <c r="A144" s="1260"/>
      <c r="B144" s="1278"/>
      <c r="C144" s="1275"/>
      <c r="D144" s="1279"/>
      <c r="E144" s="1278"/>
      <c r="F144" s="1265"/>
      <c r="G144" s="1278"/>
      <c r="H144" s="1278"/>
      <c r="I144" s="1278"/>
      <c r="J144" s="1262"/>
    </row>
    <row r="145" spans="1:11" s="888" customFormat="1" x14ac:dyDescent="0.35">
      <c r="A145" s="1260"/>
      <c r="B145" s="1278"/>
      <c r="C145" s="1275"/>
      <c r="D145" s="1279"/>
      <c r="E145" s="1278"/>
      <c r="F145" s="1265"/>
      <c r="G145" s="1278"/>
      <c r="H145" s="1278"/>
      <c r="I145" s="1278"/>
      <c r="J145" s="1262"/>
    </row>
    <row r="146" spans="1:11" s="888" customFormat="1" x14ac:dyDescent="0.35">
      <c r="A146" s="1260"/>
      <c r="B146" s="1278"/>
      <c r="C146" s="1275"/>
      <c r="D146" s="1279"/>
      <c r="E146" s="1278"/>
      <c r="F146" s="1265"/>
      <c r="G146" s="1278"/>
      <c r="H146" s="1278"/>
      <c r="I146" s="1278"/>
      <c r="J146" s="1262"/>
    </row>
    <row r="147" spans="1:11" s="888" customFormat="1" x14ac:dyDescent="0.35">
      <c r="A147" s="1260"/>
      <c r="B147" s="1278"/>
      <c r="C147" s="1275"/>
      <c r="D147" s="1279"/>
      <c r="E147" s="1278"/>
      <c r="F147" s="1265"/>
      <c r="G147" s="1278"/>
      <c r="H147" s="1278"/>
      <c r="I147" s="1278"/>
      <c r="J147" s="1262"/>
    </row>
    <row r="148" spans="1:11" s="888" customFormat="1" x14ac:dyDescent="0.35">
      <c r="A148" s="1260"/>
      <c r="B148" s="1278"/>
      <c r="C148" s="1275"/>
      <c r="D148" s="1279"/>
      <c r="E148" s="1278"/>
      <c r="F148" s="1265"/>
      <c r="G148" s="1278"/>
      <c r="H148" s="1278"/>
      <c r="I148" s="1278"/>
      <c r="J148" s="1262"/>
    </row>
    <row r="149" spans="1:11" s="888" customFormat="1" x14ac:dyDescent="0.35">
      <c r="A149" s="1260"/>
      <c r="B149" s="1278"/>
      <c r="C149" s="1275"/>
      <c r="D149" s="1279"/>
      <c r="E149" s="1278"/>
      <c r="F149" s="1265"/>
      <c r="G149" s="1278"/>
      <c r="H149" s="1278"/>
      <c r="I149" s="1278"/>
      <c r="J149" s="1262"/>
    </row>
    <row r="150" spans="1:11" s="888" customFormat="1" x14ac:dyDescent="0.35">
      <c r="A150" s="1260"/>
      <c r="B150" s="1278"/>
      <c r="C150" s="1275"/>
      <c r="D150" s="1279"/>
      <c r="E150" s="1278"/>
      <c r="F150" s="1265"/>
      <c r="G150" s="1278"/>
      <c r="H150" s="1278"/>
      <c r="I150" s="1278"/>
      <c r="J150" s="1262"/>
    </row>
    <row r="151" spans="1:11" s="888" customFormat="1" x14ac:dyDescent="0.35">
      <c r="A151" s="1260"/>
      <c r="B151" s="1278"/>
      <c r="C151" s="1275"/>
      <c r="D151" s="1279"/>
      <c r="E151" s="1278"/>
      <c r="F151" s="1265"/>
      <c r="G151" s="1278"/>
      <c r="H151" s="1278"/>
      <c r="I151" s="1278"/>
      <c r="J151" s="1262"/>
    </row>
    <row r="152" spans="1:11" s="888" customFormat="1" x14ac:dyDescent="0.35">
      <c r="A152" s="1260"/>
      <c r="B152" s="1278"/>
      <c r="C152" s="1275"/>
      <c r="D152" s="1279"/>
      <c r="E152" s="1278"/>
      <c r="F152" s="1265"/>
      <c r="G152" s="1278"/>
      <c r="H152" s="1278"/>
      <c r="I152" s="1278"/>
      <c r="J152" s="1262"/>
    </row>
    <row r="153" spans="1:11" s="888" customFormat="1" x14ac:dyDescent="0.35">
      <c r="A153" s="1260"/>
      <c r="B153" s="1278"/>
      <c r="C153" s="1275"/>
      <c r="D153" s="1279"/>
      <c r="E153" s="1278"/>
      <c r="F153" s="1265"/>
      <c r="G153" s="1278"/>
      <c r="H153" s="1278"/>
      <c r="I153" s="1278"/>
      <c r="J153" s="1262"/>
    </row>
    <row r="154" spans="1:11" s="888" customFormat="1" x14ac:dyDescent="0.35">
      <c r="A154" s="1260"/>
      <c r="B154" s="1278"/>
      <c r="C154" s="1275"/>
      <c r="D154" s="1279"/>
      <c r="E154" s="1278"/>
      <c r="F154" s="1265"/>
      <c r="G154" s="1278"/>
      <c r="H154" s="1278"/>
      <c r="I154" s="1278"/>
      <c r="J154" s="1262"/>
    </row>
    <row r="155" spans="1:11" s="888" customFormat="1" x14ac:dyDescent="0.35">
      <c r="A155" s="1260"/>
      <c r="B155" s="1278"/>
      <c r="C155" s="1275"/>
      <c r="D155" s="1279"/>
      <c r="E155" s="1278"/>
      <c r="F155" s="1265"/>
      <c r="G155" s="1278"/>
      <c r="H155" s="1278"/>
      <c r="I155" s="1278"/>
      <c r="J155" s="1262"/>
    </row>
    <row r="156" spans="1:11" s="888" customFormat="1" x14ac:dyDescent="0.35">
      <c r="A156" s="1260"/>
      <c r="B156" s="1278"/>
      <c r="C156" s="1275"/>
      <c r="D156" s="1279"/>
      <c r="E156" s="1278"/>
      <c r="F156" s="1265"/>
      <c r="G156" s="1278"/>
      <c r="H156" s="1278"/>
      <c r="I156" s="1278"/>
      <c r="J156" s="1262"/>
    </row>
    <row r="157" spans="1:11" s="888" customFormat="1" x14ac:dyDescent="0.35">
      <c r="A157" s="1260"/>
      <c r="B157" s="1278"/>
      <c r="C157" s="1275"/>
      <c r="D157" s="1279"/>
      <c r="E157" s="1278"/>
      <c r="F157" s="1265"/>
      <c r="G157" s="1278"/>
      <c r="H157" s="1278"/>
      <c r="I157" s="1278"/>
      <c r="J157" s="1262"/>
    </row>
    <row r="158" spans="1:11" s="888" customFormat="1" x14ac:dyDescent="0.35">
      <c r="A158" s="1260"/>
      <c r="B158" s="1278"/>
      <c r="C158" s="1275"/>
      <c r="D158" s="1279"/>
      <c r="E158" s="1278"/>
      <c r="F158" s="1265"/>
      <c r="G158" s="1278"/>
      <c r="H158" s="1278"/>
      <c r="I158" s="1278"/>
      <c r="J158" s="1262"/>
    </row>
    <row r="159" spans="1:11" s="888" customFormat="1" x14ac:dyDescent="0.35">
      <c r="A159" s="1260"/>
      <c r="B159" s="1278"/>
      <c r="C159" s="1275"/>
      <c r="D159" s="1279"/>
      <c r="E159" s="1278"/>
      <c r="F159" s="1265"/>
      <c r="G159" s="1278"/>
      <c r="H159" s="1278"/>
      <c r="I159" s="1278"/>
      <c r="J159" s="1262"/>
      <c r="K159" s="885"/>
    </row>
    <row r="160" spans="1:11" s="888" customFormat="1" x14ac:dyDescent="0.35">
      <c r="A160" s="1260"/>
      <c r="B160" s="1278"/>
      <c r="C160" s="1275"/>
      <c r="D160" s="1279"/>
      <c r="E160" s="1278"/>
      <c r="F160" s="1265"/>
      <c r="G160" s="1278"/>
      <c r="H160" s="1278"/>
      <c r="I160" s="1278"/>
      <c r="J160" s="1262"/>
      <c r="K160" s="885"/>
    </row>
    <row r="161" spans="1:11" s="888" customFormat="1" x14ac:dyDescent="0.35">
      <c r="A161" s="1260"/>
      <c r="B161" s="1278"/>
      <c r="C161" s="1275"/>
      <c r="D161" s="1279"/>
      <c r="E161" s="1278"/>
      <c r="F161" s="1265"/>
      <c r="G161" s="1278"/>
      <c r="H161" s="1278"/>
      <c r="I161" s="1281"/>
      <c r="J161" s="1282"/>
      <c r="K161" s="885"/>
    </row>
    <row r="162" spans="1:11" s="888" customFormat="1" x14ac:dyDescent="0.35">
      <c r="A162" s="1260"/>
      <c r="B162" s="1278"/>
      <c r="C162" s="1275"/>
      <c r="D162" s="1279"/>
      <c r="E162" s="1278"/>
      <c r="F162" s="1265"/>
      <c r="G162" s="1278"/>
      <c r="H162" s="1278"/>
      <c r="I162" s="1281"/>
      <c r="J162" s="1282"/>
      <c r="K162" s="885"/>
    </row>
    <row r="163" spans="1:11" s="888" customFormat="1" x14ac:dyDescent="0.35">
      <c r="A163" s="1260"/>
      <c r="B163" s="1278"/>
      <c r="C163" s="1275"/>
      <c r="D163" s="1279"/>
      <c r="E163" s="1278"/>
      <c r="F163" s="1265"/>
      <c r="G163" s="1278"/>
      <c r="H163" s="1278"/>
      <c r="I163" s="1281"/>
      <c r="J163" s="1282"/>
      <c r="K163" s="885"/>
    </row>
    <row r="164" spans="1:11" s="888" customFormat="1" x14ac:dyDescent="0.35">
      <c r="A164" s="1260"/>
      <c r="B164" s="1278"/>
      <c r="C164" s="1284"/>
      <c r="D164" s="1279"/>
      <c r="E164" s="1278"/>
      <c r="F164" s="1265"/>
      <c r="G164" s="1278"/>
      <c r="H164" s="1278"/>
      <c r="I164" s="1281"/>
      <c r="J164" s="1282"/>
      <c r="K164" s="885"/>
    </row>
    <row r="165" spans="1:11" s="888" customFormat="1" x14ac:dyDescent="0.35">
      <c r="A165" s="1260"/>
      <c r="B165" s="1278"/>
      <c r="C165" s="1284"/>
      <c r="D165" s="1279"/>
      <c r="E165" s="1278"/>
      <c r="F165" s="1265"/>
      <c r="G165" s="1278"/>
      <c r="H165" s="1278"/>
      <c r="I165" s="1281"/>
      <c r="J165" s="1282"/>
      <c r="K165" s="885"/>
    </row>
    <row r="166" spans="1:11" s="888" customFormat="1" x14ac:dyDescent="0.35">
      <c r="A166" s="1260"/>
      <c r="B166" s="1278"/>
      <c r="C166" s="1284"/>
      <c r="D166" s="1279"/>
      <c r="E166" s="1278"/>
      <c r="F166" s="1265"/>
      <c r="G166" s="1278"/>
      <c r="H166" s="1278"/>
      <c r="I166" s="1281"/>
      <c r="J166" s="1282"/>
      <c r="K166" s="885"/>
    </row>
    <row r="167" spans="1:11" s="888" customFormat="1" x14ac:dyDescent="0.35">
      <c r="A167" s="1260"/>
      <c r="B167" s="1278"/>
      <c r="C167" s="1284"/>
      <c r="D167" s="1279"/>
      <c r="E167" s="1278"/>
      <c r="F167" s="1265"/>
      <c r="G167" s="1281"/>
      <c r="H167" s="1281"/>
      <c r="I167" s="1281"/>
      <c r="J167" s="1282"/>
      <c r="K167" s="885"/>
    </row>
    <row r="168" spans="1:11" s="888" customFormat="1" x14ac:dyDescent="0.35">
      <c r="A168" s="1260"/>
      <c r="B168" s="1278"/>
      <c r="C168" s="1284"/>
      <c r="D168" s="1279"/>
      <c r="E168" s="1278"/>
      <c r="F168" s="1265"/>
      <c r="G168" s="1281"/>
      <c r="H168" s="1281"/>
      <c r="I168" s="1281"/>
      <c r="J168" s="1282"/>
      <c r="K168" s="885"/>
    </row>
    <row r="169" spans="1:11" x14ac:dyDescent="0.35">
      <c r="A169" s="1260"/>
      <c r="B169" s="1278"/>
      <c r="E169" s="1278"/>
      <c r="F169" s="1265"/>
    </row>
    <row r="170" spans="1:11" x14ac:dyDescent="0.35">
      <c r="A170" s="1260"/>
      <c r="B170" s="1278"/>
      <c r="E170" s="1278"/>
      <c r="F170" s="1265"/>
    </row>
    <row r="171" spans="1:11" x14ac:dyDescent="0.35">
      <c r="E171" s="1278"/>
    </row>
  </sheetData>
  <mergeCells count="1">
    <mergeCell ref="A1:J1"/>
  </mergeCells>
  <pageMargins left="0.314" right="0.314" top="0.11799999999999999" bottom="0.27500000000000002" header="0.157" footer="0.11799999999999999"/>
  <pageSetup scale="81" firstPageNumber="2" orientation="landscape" r:id="rId1"/>
  <headerFooter>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66"/>
  <sheetViews>
    <sheetView zoomScale="130" zoomScaleNormal="80" zoomScaleSheetLayoutView="130" workbookViewId="0">
      <selection activeCell="B16" sqref="B16"/>
    </sheetView>
  </sheetViews>
  <sheetFormatPr defaultColWidth="8.81640625" defaultRowHeight="12.5" x14ac:dyDescent="0.25"/>
  <cols>
    <col min="1" max="1" width="7.7265625" style="10" customWidth="1"/>
    <col min="2" max="2" width="92" style="10" customWidth="1"/>
    <col min="3" max="3" width="18.1796875" style="10" customWidth="1"/>
    <col min="4" max="4" width="17.7265625" style="10" customWidth="1"/>
  </cols>
  <sheetData>
    <row r="1" spans="1:5" ht="13" x14ac:dyDescent="0.3">
      <c r="A1" s="637" t="s">
        <v>1285</v>
      </c>
      <c r="B1" s="643"/>
      <c r="C1" s="643"/>
      <c r="D1" s="644"/>
    </row>
    <row r="2" spans="1:5" ht="15.5" x14ac:dyDescent="0.25">
      <c r="A2" s="398" t="s">
        <v>1364</v>
      </c>
      <c r="B2" s="405"/>
      <c r="C2" s="405"/>
      <c r="D2" s="405"/>
    </row>
    <row r="3" spans="1:5" ht="10.5" customHeight="1" x14ac:dyDescent="0.25">
      <c r="A3" s="405"/>
      <c r="B3" s="405"/>
      <c r="C3" s="405"/>
      <c r="D3" s="405"/>
    </row>
    <row r="4" spans="1:5" ht="13" x14ac:dyDescent="0.3">
      <c r="A4" s="645" t="s">
        <v>1365</v>
      </c>
      <c r="B4" s="646"/>
      <c r="C4" s="647" t="s">
        <v>1366</v>
      </c>
      <c r="D4" s="647" t="s">
        <v>1367</v>
      </c>
    </row>
    <row r="5" spans="1:5" ht="34.5" x14ac:dyDescent="0.25">
      <c r="A5" s="3320" t="s">
        <v>1262</v>
      </c>
      <c r="B5" s="3335" t="s">
        <v>1349</v>
      </c>
      <c r="C5" s="653" t="s">
        <v>1368</v>
      </c>
      <c r="D5" s="1001" t="s">
        <v>1369</v>
      </c>
    </row>
    <row r="6" spans="1:5" x14ac:dyDescent="0.25">
      <c r="A6" s="3340"/>
      <c r="B6" s="3342"/>
      <c r="C6" s="654" t="s">
        <v>920</v>
      </c>
      <c r="D6" s="3344" t="s">
        <v>1266</v>
      </c>
    </row>
    <row r="7" spans="1:5" x14ac:dyDescent="0.25">
      <c r="A7" s="3340"/>
      <c r="B7" s="3342"/>
      <c r="C7" s="3338" t="s">
        <v>1267</v>
      </c>
      <c r="D7" s="3345"/>
    </row>
    <row r="8" spans="1:5" x14ac:dyDescent="0.25">
      <c r="A8" s="3340"/>
      <c r="B8" s="3342"/>
      <c r="C8" s="3339"/>
      <c r="D8" s="3345"/>
    </row>
    <row r="9" spans="1:5" ht="13" thickBot="1" x14ac:dyDescent="0.3">
      <c r="A9" s="3341"/>
      <c r="B9" s="3343"/>
      <c r="C9" s="655" t="s">
        <v>346</v>
      </c>
      <c r="D9" s="3346"/>
    </row>
    <row r="10" spans="1:5" ht="16.5" customHeight="1" thickTop="1" x14ac:dyDescent="0.25">
      <c r="A10" s="1146">
        <v>601</v>
      </c>
      <c r="B10" s="1022" t="s">
        <v>1370</v>
      </c>
      <c r="C10" s="1200"/>
      <c r="D10" s="1200"/>
      <c r="E10" s="1185"/>
    </row>
    <row r="11" spans="1:5" ht="22.5" customHeight="1" x14ac:dyDescent="0.25">
      <c r="A11" s="1146">
        <f t="shared" ref="A11:A66" si="0">A10+1</f>
        <v>602</v>
      </c>
      <c r="B11" s="656" t="s">
        <v>1371</v>
      </c>
      <c r="C11" s="650"/>
      <c r="D11" s="650"/>
      <c r="E11" s="1185"/>
    </row>
    <row r="12" spans="1:5" ht="24" customHeight="1" x14ac:dyDescent="0.25">
      <c r="A12" s="1146">
        <f t="shared" si="0"/>
        <v>603</v>
      </c>
      <c r="B12" s="1022" t="s">
        <v>1372</v>
      </c>
      <c r="C12" s="1200"/>
      <c r="D12" s="1200"/>
      <c r="E12" s="1185"/>
    </row>
    <row r="13" spans="1:5" ht="22.5" customHeight="1" x14ac:dyDescent="0.25">
      <c r="A13" s="1146">
        <f t="shared" si="0"/>
        <v>604</v>
      </c>
      <c r="B13" s="1022" t="s">
        <v>1373</v>
      </c>
      <c r="C13" s="1200"/>
      <c r="D13" s="1200"/>
      <c r="E13" s="1185"/>
    </row>
    <row r="14" spans="1:5" ht="29" customHeight="1" x14ac:dyDescent="0.25">
      <c r="A14" s="1146">
        <f t="shared" si="0"/>
        <v>605</v>
      </c>
      <c r="B14" s="652" t="s">
        <v>1374</v>
      </c>
      <c r="C14" s="650"/>
      <c r="D14" s="650"/>
      <c r="E14" s="1185"/>
    </row>
    <row r="15" spans="1:5" ht="19.5" customHeight="1" x14ac:dyDescent="0.25">
      <c r="A15" s="1146">
        <f t="shared" si="0"/>
        <v>606</v>
      </c>
      <c r="B15" s="2105" t="s">
        <v>2752</v>
      </c>
      <c r="C15" s="2104"/>
      <c r="D15" s="2104"/>
      <c r="E15" s="1185"/>
    </row>
    <row r="16" spans="1:5" ht="16.5" customHeight="1" x14ac:dyDescent="0.25">
      <c r="A16" s="1146">
        <f t="shared" si="0"/>
        <v>607</v>
      </c>
      <c r="B16" s="1022" t="s">
        <v>1375</v>
      </c>
      <c r="C16" s="1200"/>
      <c r="D16" s="1200"/>
      <c r="E16" s="1185"/>
    </row>
    <row r="17" spans="1:5" ht="16.5" customHeight="1" x14ac:dyDescent="0.25">
      <c r="A17" s="1146">
        <f t="shared" si="0"/>
        <v>608</v>
      </c>
      <c r="B17" s="1022" t="s">
        <v>1376</v>
      </c>
      <c r="C17" s="1200"/>
      <c r="D17" s="1200"/>
      <c r="E17" s="1185"/>
    </row>
    <row r="18" spans="1:5" ht="16.5" customHeight="1" x14ac:dyDescent="0.25">
      <c r="A18" s="1146">
        <f t="shared" si="0"/>
        <v>609</v>
      </c>
      <c r="B18" s="1022" t="s">
        <v>1377</v>
      </c>
      <c r="C18" s="1200"/>
      <c r="D18" s="1200"/>
      <c r="E18" s="1185"/>
    </row>
    <row r="19" spans="1:5" ht="16.5" customHeight="1" x14ac:dyDescent="0.25">
      <c r="A19" s="1146">
        <f t="shared" si="0"/>
        <v>610</v>
      </c>
      <c r="B19" s="1022" t="s">
        <v>1378</v>
      </c>
      <c r="C19" s="1200"/>
      <c r="D19" s="1200"/>
      <c r="E19" s="1185"/>
    </row>
    <row r="20" spans="1:5" ht="16.5" customHeight="1" x14ac:dyDescent="0.25">
      <c r="A20" s="1146">
        <f t="shared" si="0"/>
        <v>611</v>
      </c>
      <c r="B20" s="1022" t="s">
        <v>1379</v>
      </c>
      <c r="C20" s="1200"/>
      <c r="D20" s="1200"/>
      <c r="E20" s="1185"/>
    </row>
    <row r="21" spans="1:5" ht="16.5" customHeight="1" x14ac:dyDescent="0.25">
      <c r="A21" s="1146">
        <f t="shared" si="0"/>
        <v>612</v>
      </c>
      <c r="B21" s="1022" t="s">
        <v>1380</v>
      </c>
      <c r="C21" s="1200"/>
      <c r="D21" s="1200"/>
      <c r="E21" s="1185"/>
    </row>
    <row r="22" spans="1:5" ht="16.5" customHeight="1" x14ac:dyDescent="0.25">
      <c r="A22" s="1146">
        <f t="shared" si="0"/>
        <v>613</v>
      </c>
      <c r="B22" s="1150" t="s">
        <v>1381</v>
      </c>
      <c r="C22" s="1200"/>
      <c r="D22" s="1200"/>
      <c r="E22" s="1185"/>
    </row>
    <row r="23" spans="1:5" ht="16.5" customHeight="1" x14ac:dyDescent="0.25">
      <c r="A23" s="1146">
        <f t="shared" si="0"/>
        <v>614</v>
      </c>
      <c r="B23" s="1150" t="s">
        <v>1382</v>
      </c>
      <c r="C23" s="1200"/>
      <c r="D23" s="1200"/>
      <c r="E23" s="1185"/>
    </row>
    <row r="24" spans="1:5" ht="16.5" customHeight="1" x14ac:dyDescent="0.25">
      <c r="A24" s="1146">
        <f t="shared" si="0"/>
        <v>615</v>
      </c>
      <c r="B24" s="1022" t="s">
        <v>1383</v>
      </c>
      <c r="C24" s="1200"/>
      <c r="D24" s="1200"/>
      <c r="E24" s="1185"/>
    </row>
    <row r="25" spans="1:5" x14ac:dyDescent="0.25">
      <c r="A25" s="1146">
        <f t="shared" si="0"/>
        <v>616</v>
      </c>
      <c r="B25" s="1022" t="s">
        <v>1384</v>
      </c>
      <c r="C25" s="1200"/>
      <c r="D25" s="1200"/>
      <c r="E25" s="1185"/>
    </row>
    <row r="26" spans="1:5" ht="16.5" customHeight="1" x14ac:dyDescent="0.25">
      <c r="A26" s="1146">
        <f t="shared" si="0"/>
        <v>617</v>
      </c>
      <c r="B26" s="1022" t="s">
        <v>1385</v>
      </c>
      <c r="C26" s="1200"/>
      <c r="D26" s="1200"/>
      <c r="E26" s="1185"/>
    </row>
    <row r="27" spans="1:5" ht="16.5" customHeight="1" x14ac:dyDescent="0.25">
      <c r="A27" s="1146">
        <f t="shared" si="0"/>
        <v>618</v>
      </c>
      <c r="B27" s="1881" t="s">
        <v>1386</v>
      </c>
      <c r="C27" s="1200"/>
      <c r="D27" s="1200"/>
      <c r="E27" s="1185"/>
    </row>
    <row r="28" spans="1:5" ht="16.5" customHeight="1" x14ac:dyDescent="0.25">
      <c r="A28" s="1146">
        <f t="shared" si="0"/>
        <v>619</v>
      </c>
      <c r="B28" s="1881" t="s">
        <v>1387</v>
      </c>
      <c r="C28" s="1200"/>
      <c r="D28" s="1200"/>
      <c r="E28" s="1185"/>
    </row>
    <row r="29" spans="1:5" ht="16.5" customHeight="1" x14ac:dyDescent="0.25">
      <c r="A29" s="1146">
        <f t="shared" si="0"/>
        <v>620</v>
      </c>
      <c r="B29" s="1022" t="s">
        <v>1388</v>
      </c>
      <c r="C29" s="1200"/>
      <c r="D29" s="1200"/>
      <c r="E29" s="1185"/>
    </row>
    <row r="30" spans="1:5" ht="16.5" customHeight="1" x14ac:dyDescent="0.25">
      <c r="A30" s="1146">
        <f t="shared" si="0"/>
        <v>621</v>
      </c>
      <c r="B30" s="1022" t="s">
        <v>1389</v>
      </c>
      <c r="C30" s="1200"/>
      <c r="D30" s="1200"/>
      <c r="E30" s="1185"/>
    </row>
    <row r="31" spans="1:5" ht="16.5" customHeight="1" x14ac:dyDescent="0.25">
      <c r="A31" s="1146">
        <f t="shared" si="0"/>
        <v>622</v>
      </c>
      <c r="B31" s="1022" t="s">
        <v>1390</v>
      </c>
      <c r="C31" s="1200"/>
      <c r="D31" s="1200"/>
      <c r="E31" s="1185"/>
    </row>
    <row r="32" spans="1:5" ht="22.5" customHeight="1" x14ac:dyDescent="0.25">
      <c r="A32" s="1146">
        <f t="shared" si="0"/>
        <v>623</v>
      </c>
      <c r="B32" s="1022" t="s">
        <v>1391</v>
      </c>
      <c r="C32" s="1200"/>
      <c r="D32" s="1200"/>
      <c r="E32" s="1185"/>
    </row>
    <row r="33" spans="1:5" ht="16.5" customHeight="1" x14ac:dyDescent="0.25">
      <c r="A33" s="1146">
        <f t="shared" si="0"/>
        <v>624</v>
      </c>
      <c r="B33" s="1022" t="s">
        <v>1392</v>
      </c>
      <c r="C33" s="1200"/>
      <c r="D33" s="1200"/>
      <c r="E33" s="1185"/>
    </row>
    <row r="34" spans="1:5" ht="16.5" customHeight="1" x14ac:dyDescent="0.25">
      <c r="A34" s="1146">
        <f t="shared" si="0"/>
        <v>625</v>
      </c>
      <c r="B34" s="1022" t="s">
        <v>1393</v>
      </c>
      <c r="C34" s="1200"/>
      <c r="D34" s="1200"/>
      <c r="E34" s="1185"/>
    </row>
    <row r="35" spans="1:5" ht="16.5" customHeight="1" x14ac:dyDescent="0.25">
      <c r="A35" s="1146">
        <f t="shared" si="0"/>
        <v>626</v>
      </c>
      <c r="B35" s="1022" t="s">
        <v>1394</v>
      </c>
      <c r="C35" s="1200"/>
      <c r="D35" s="1200"/>
      <c r="E35" s="1185"/>
    </row>
    <row r="36" spans="1:5" ht="16.5" customHeight="1" x14ac:dyDescent="0.25">
      <c r="A36" s="1146">
        <f t="shared" si="0"/>
        <v>627</v>
      </c>
      <c r="B36" s="1022" t="s">
        <v>1395</v>
      </c>
      <c r="C36" s="1200"/>
      <c r="D36" s="1200"/>
      <c r="E36" s="1185"/>
    </row>
    <row r="37" spans="1:5" ht="16.5" customHeight="1" x14ac:dyDescent="0.25">
      <c r="A37" s="1146">
        <f t="shared" si="0"/>
        <v>628</v>
      </c>
      <c r="B37" s="1022" t="s">
        <v>1396</v>
      </c>
      <c r="C37" s="1200"/>
      <c r="D37" s="1200"/>
      <c r="E37" s="1185"/>
    </row>
    <row r="38" spans="1:5" ht="16.5" customHeight="1" x14ac:dyDescent="0.25">
      <c r="A38" s="1146">
        <f t="shared" si="0"/>
        <v>629</v>
      </c>
      <c r="B38" s="1022" t="s">
        <v>1397</v>
      </c>
      <c r="C38" s="1200"/>
      <c r="D38" s="1200"/>
      <c r="E38" s="1185"/>
    </row>
    <row r="39" spans="1:5" ht="16.5" customHeight="1" x14ac:dyDescent="0.25">
      <c r="A39" s="1146">
        <f t="shared" si="0"/>
        <v>630</v>
      </c>
      <c r="B39" s="1022" t="s">
        <v>1398</v>
      </c>
      <c r="C39" s="1200"/>
      <c r="D39" s="1200"/>
      <c r="E39" s="1185"/>
    </row>
    <row r="40" spans="1:5" ht="16.5" customHeight="1" x14ac:dyDescent="0.25">
      <c r="A40" s="1146">
        <f t="shared" si="0"/>
        <v>631</v>
      </c>
      <c r="B40" s="1022" t="s">
        <v>1399</v>
      </c>
      <c r="C40" s="1200"/>
      <c r="D40" s="1200"/>
      <c r="E40" s="1185"/>
    </row>
    <row r="41" spans="1:5" ht="16.5" customHeight="1" x14ac:dyDescent="0.25">
      <c r="A41" s="1146">
        <f t="shared" si="0"/>
        <v>632</v>
      </c>
      <c r="B41" s="1150" t="s">
        <v>1400</v>
      </c>
      <c r="C41" s="1200"/>
      <c r="D41" s="1200"/>
      <c r="E41" s="1185"/>
    </row>
    <row r="42" spans="1:5" ht="16.5" customHeight="1" x14ac:dyDescent="0.25">
      <c r="A42" s="1146">
        <f t="shared" si="0"/>
        <v>633</v>
      </c>
      <c r="B42" s="1150" t="s">
        <v>1401</v>
      </c>
      <c r="C42" s="1200"/>
      <c r="D42" s="1200"/>
      <c r="E42" s="1185"/>
    </row>
    <row r="43" spans="1:5" ht="16.5" customHeight="1" x14ac:dyDescent="0.25">
      <c r="A43" s="1146">
        <f t="shared" si="0"/>
        <v>634</v>
      </c>
      <c r="B43" s="1150" t="s">
        <v>1402</v>
      </c>
      <c r="C43" s="1200"/>
      <c r="D43" s="1200"/>
      <c r="E43" s="1185"/>
    </row>
    <row r="44" spans="1:5" ht="16.5" customHeight="1" x14ac:dyDescent="0.25">
      <c r="A44" s="1146">
        <f t="shared" si="0"/>
        <v>635</v>
      </c>
      <c r="B44" s="1150" t="s">
        <v>1403</v>
      </c>
      <c r="C44" s="1200"/>
      <c r="D44" s="1200"/>
      <c r="E44" s="1185"/>
    </row>
    <row r="45" spans="1:5" ht="16.5" customHeight="1" x14ac:dyDescent="0.25">
      <c r="A45" s="1146">
        <f t="shared" si="0"/>
        <v>636</v>
      </c>
      <c r="B45" s="1150" t="s">
        <v>1404</v>
      </c>
      <c r="C45" s="1200"/>
      <c r="D45" s="1200"/>
      <c r="E45" s="1185"/>
    </row>
    <row r="46" spans="1:5" ht="16.5" customHeight="1" x14ac:dyDescent="0.25">
      <c r="A46" s="1146">
        <f t="shared" si="0"/>
        <v>637</v>
      </c>
      <c r="B46" s="1022" t="s">
        <v>1405</v>
      </c>
      <c r="C46" s="1200"/>
      <c r="D46" s="1200"/>
      <c r="E46" s="1185"/>
    </row>
    <row r="47" spans="1:5" ht="16.5" customHeight="1" x14ac:dyDescent="0.25">
      <c r="A47" s="1146">
        <f t="shared" si="0"/>
        <v>638</v>
      </c>
      <c r="B47" s="1150" t="s">
        <v>1406</v>
      </c>
      <c r="C47" s="1200"/>
      <c r="D47" s="1200"/>
      <c r="E47" s="1185"/>
    </row>
    <row r="48" spans="1:5" ht="16.5" customHeight="1" x14ac:dyDescent="0.25">
      <c r="A48" s="1146">
        <f t="shared" si="0"/>
        <v>639</v>
      </c>
      <c r="B48" s="1022" t="s">
        <v>1407</v>
      </c>
      <c r="C48" s="1200"/>
      <c r="D48" s="1200"/>
      <c r="E48" s="1185"/>
    </row>
    <row r="49" spans="1:5" ht="21.75" customHeight="1" x14ac:dyDescent="0.25">
      <c r="A49" s="1146">
        <f t="shared" si="0"/>
        <v>640</v>
      </c>
      <c r="B49" s="1022" t="s">
        <v>1408</v>
      </c>
      <c r="C49" s="1200"/>
      <c r="D49" s="1200"/>
      <c r="E49" s="1185"/>
    </row>
    <row r="50" spans="1:5" x14ac:dyDescent="0.25">
      <c r="A50" s="1146">
        <f t="shared" si="0"/>
        <v>641</v>
      </c>
      <c r="B50" s="1022" t="s">
        <v>1409</v>
      </c>
      <c r="C50" s="1200"/>
      <c r="D50" s="1200"/>
      <c r="E50" s="1185"/>
    </row>
    <row r="51" spans="1:5" ht="16.5" customHeight="1" x14ac:dyDescent="0.25">
      <c r="A51" s="1146">
        <f t="shared" si="0"/>
        <v>642</v>
      </c>
      <c r="B51" s="1022" t="s">
        <v>1410</v>
      </c>
      <c r="C51" s="1200"/>
      <c r="D51" s="1200"/>
      <c r="E51" s="1185"/>
    </row>
    <row r="52" spans="1:5" ht="16.5" customHeight="1" x14ac:dyDescent="0.25">
      <c r="A52" s="1146">
        <f t="shared" si="0"/>
        <v>643</v>
      </c>
      <c r="B52" s="1022" t="s">
        <v>1411</v>
      </c>
      <c r="C52" s="1200"/>
      <c r="D52" s="1200"/>
      <c r="E52" s="1185"/>
    </row>
    <row r="53" spans="1:5" ht="16.5" customHeight="1" x14ac:dyDescent="0.25">
      <c r="A53" s="1146">
        <f t="shared" si="0"/>
        <v>644</v>
      </c>
      <c r="B53" s="1150" t="s">
        <v>1412</v>
      </c>
      <c r="C53" s="1200"/>
      <c r="D53" s="1200"/>
    </row>
    <row r="54" spans="1:5" ht="16.5" customHeight="1" x14ac:dyDescent="0.25">
      <c r="A54" s="1146">
        <f t="shared" si="0"/>
        <v>645</v>
      </c>
      <c r="B54" s="1125" t="s">
        <v>1413</v>
      </c>
      <c r="C54" s="1148"/>
      <c r="D54" s="1149"/>
      <c r="E54" s="1185"/>
    </row>
    <row r="55" spans="1:5" ht="16.5" customHeight="1" x14ac:dyDescent="0.25">
      <c r="A55" s="1146">
        <f t="shared" si="0"/>
        <v>646</v>
      </c>
      <c r="B55" s="1125" t="s">
        <v>1414</v>
      </c>
      <c r="C55" s="1148"/>
      <c r="D55" s="1149"/>
      <c r="E55" s="1185"/>
    </row>
    <row r="56" spans="1:5" ht="16.5" customHeight="1" x14ac:dyDescent="0.25">
      <c r="A56" s="1146">
        <f t="shared" si="0"/>
        <v>647</v>
      </c>
      <c r="B56" s="1125" t="s">
        <v>1415</v>
      </c>
      <c r="C56" s="1149"/>
      <c r="D56" s="1149"/>
      <c r="E56" s="1185"/>
    </row>
    <row r="57" spans="1:5" ht="16.5" customHeight="1" x14ac:dyDescent="0.25">
      <c r="A57" s="1146">
        <f t="shared" si="0"/>
        <v>648</v>
      </c>
      <c r="B57" s="1022" t="s">
        <v>1416</v>
      </c>
      <c r="C57" s="1200"/>
      <c r="D57" s="1200"/>
      <c r="E57" s="1185"/>
    </row>
    <row r="58" spans="1:5" ht="16.5" customHeight="1" x14ac:dyDescent="0.25">
      <c r="A58" s="1146">
        <f t="shared" si="0"/>
        <v>649</v>
      </c>
      <c r="B58" s="1022" t="s">
        <v>1417</v>
      </c>
      <c r="C58" s="1200"/>
      <c r="D58" s="1200"/>
      <c r="E58" s="1185"/>
    </row>
    <row r="59" spans="1:5" ht="23" x14ac:dyDescent="0.25">
      <c r="A59" s="1146">
        <f t="shared" si="0"/>
        <v>650</v>
      </c>
      <c r="B59" s="1022" t="s">
        <v>1418</v>
      </c>
      <c r="C59" s="1200"/>
      <c r="D59" s="1200"/>
      <c r="E59" s="1185"/>
    </row>
    <row r="60" spans="1:5" ht="16.5" customHeight="1" x14ac:dyDescent="0.25">
      <c r="A60" s="1146">
        <f t="shared" si="0"/>
        <v>651</v>
      </c>
      <c r="B60" s="1022" t="s">
        <v>1419</v>
      </c>
      <c r="C60" s="1200"/>
      <c r="D60" s="1200"/>
      <c r="E60" s="1185"/>
    </row>
    <row r="61" spans="1:5" ht="16.5" customHeight="1" x14ac:dyDescent="0.25">
      <c r="A61" s="1146">
        <f t="shared" si="0"/>
        <v>652</v>
      </c>
      <c r="B61" s="1022" t="s">
        <v>1420</v>
      </c>
      <c r="C61" s="1200"/>
      <c r="D61" s="1200"/>
      <c r="E61" s="1185"/>
    </row>
    <row r="62" spans="1:5" ht="16.5" customHeight="1" x14ac:dyDescent="0.25">
      <c r="A62" s="1146">
        <f t="shared" si="0"/>
        <v>653</v>
      </c>
      <c r="B62" s="1022" t="s">
        <v>1421</v>
      </c>
      <c r="C62" s="1200"/>
      <c r="D62" s="1200"/>
      <c r="E62" s="1185"/>
    </row>
    <row r="63" spans="1:5" ht="16.5" customHeight="1" x14ac:dyDescent="0.25">
      <c r="A63" s="1146">
        <f t="shared" si="0"/>
        <v>654</v>
      </c>
      <c r="B63" s="1125" t="s">
        <v>1422</v>
      </c>
      <c r="C63" s="1149"/>
      <c r="D63" s="1149"/>
      <c r="E63" s="1185"/>
    </row>
    <row r="64" spans="1:5" ht="17.25" customHeight="1" x14ac:dyDescent="0.25">
      <c r="A64" s="1146">
        <f t="shared" si="0"/>
        <v>655</v>
      </c>
      <c r="B64" s="2099" t="s">
        <v>1423</v>
      </c>
      <c r="C64" s="2101"/>
      <c r="D64" s="2100"/>
    </row>
    <row r="65" spans="1:5" ht="16.5" customHeight="1" x14ac:dyDescent="0.25">
      <c r="A65" s="1146">
        <f t="shared" si="0"/>
        <v>656</v>
      </c>
      <c r="B65" s="1022" t="s">
        <v>1424</v>
      </c>
      <c r="C65" s="1200"/>
      <c r="D65" s="1200"/>
      <c r="E65" s="1185"/>
    </row>
    <row r="66" spans="1:5" ht="16.5" customHeight="1" x14ac:dyDescent="0.25">
      <c r="A66" s="1146">
        <f t="shared" si="0"/>
        <v>657</v>
      </c>
      <c r="B66" s="2167" t="s">
        <v>1425</v>
      </c>
      <c r="C66" s="2168"/>
      <c r="D66" s="2168"/>
      <c r="E66" s="1185"/>
    </row>
  </sheetData>
  <mergeCells count="4">
    <mergeCell ref="A5:A9"/>
    <mergeCell ref="B5:B9"/>
    <mergeCell ref="D6:D9"/>
    <mergeCell ref="C7:C8"/>
  </mergeCells>
  <pageMargins left="0.314" right="0.314" top="0.11799999999999999" bottom="0.27500000000000002" header="0.157" footer="0.11799999999999999"/>
  <pageSetup scale="89" firstPageNumber="54" orientation="landscape" r:id="rId1"/>
  <headerFooter>
    <oddFooter>&amp;C&amp;P</oddFooter>
  </headerFooter>
  <rowBreaks count="1" manualBreakCount="1">
    <brk id="36" max="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39"/>
  <sheetViews>
    <sheetView zoomScale="120" zoomScaleNormal="140" zoomScaleSheetLayoutView="120" workbookViewId="0">
      <selection activeCell="AH29" sqref="AH29"/>
    </sheetView>
  </sheetViews>
  <sheetFormatPr defaultColWidth="9.1796875" defaultRowHeight="12.5" x14ac:dyDescent="0.25"/>
  <cols>
    <col min="1" max="1" width="5.7265625" style="10" customWidth="1"/>
    <col min="2" max="11" width="9.1796875" style="10" customWidth="1"/>
    <col min="12" max="12" width="5.453125" style="10" bestFit="1" customWidth="1"/>
    <col min="13" max="13" width="6.81640625" style="10" bestFit="1" customWidth="1"/>
    <col min="14" max="14" width="10.81640625" style="10" bestFit="1" customWidth="1"/>
    <col min="15" max="15" width="1.81640625" style="10" customWidth="1"/>
    <col min="16" max="16" width="9.1796875" style="10"/>
    <col min="17" max="17" width="2.1796875" style="10" customWidth="1"/>
    <col min="18" max="16384" width="9.1796875" style="10"/>
  </cols>
  <sheetData>
    <row r="1" spans="1:16" x14ac:dyDescent="0.25">
      <c r="B1" s="67"/>
      <c r="C1" s="67"/>
      <c r="D1" s="67"/>
      <c r="E1" s="67"/>
      <c r="F1" s="67"/>
      <c r="G1" s="67"/>
      <c r="H1" s="67"/>
      <c r="I1" s="67"/>
      <c r="J1" s="67"/>
      <c r="K1" s="67"/>
      <c r="L1" s="69"/>
      <c r="M1" s="70"/>
      <c r="N1" s="70"/>
      <c r="O1" s="70"/>
      <c r="P1" s="823"/>
    </row>
    <row r="2" spans="1:16" x14ac:dyDescent="0.25">
      <c r="A2" s="993" t="s">
        <v>1426</v>
      </c>
      <c r="B2" s="995"/>
      <c r="C2" s="995"/>
      <c r="D2" s="995"/>
      <c r="E2" s="995"/>
      <c r="F2" s="995"/>
      <c r="G2" s="995"/>
      <c r="H2" s="995"/>
      <c r="I2" s="995"/>
      <c r="J2" s="995"/>
      <c r="K2" s="995"/>
      <c r="L2" s="67"/>
      <c r="M2" s="70"/>
      <c r="N2" s="70"/>
      <c r="O2" s="70"/>
      <c r="P2" s="823"/>
    </row>
    <row r="3" spans="1:16" x14ac:dyDescent="0.25">
      <c r="B3" s="995"/>
      <c r="C3" s="995"/>
      <c r="D3" s="995"/>
      <c r="E3" s="995"/>
      <c r="F3" s="995"/>
      <c r="G3" s="995"/>
      <c r="H3" s="995"/>
      <c r="I3" s="995"/>
      <c r="J3" s="995"/>
      <c r="K3" s="995"/>
      <c r="L3" s="67"/>
      <c r="M3" s="70"/>
      <c r="N3" s="70"/>
      <c r="O3" s="70"/>
      <c r="P3" s="823"/>
    </row>
    <row r="4" spans="1:16" ht="13.5" customHeight="1" x14ac:dyDescent="0.25">
      <c r="A4" s="994" t="s">
        <v>1427</v>
      </c>
      <c r="B4" s="995"/>
      <c r="C4" s="995"/>
      <c r="D4" s="995"/>
      <c r="E4" s="995"/>
      <c r="F4" s="995"/>
      <c r="G4" s="995"/>
      <c r="H4" s="995"/>
      <c r="I4" s="995"/>
      <c r="J4" s="995"/>
      <c r="K4" s="995"/>
      <c r="L4" s="67"/>
      <c r="M4" s="70"/>
      <c r="N4" s="70"/>
      <c r="O4" s="70"/>
      <c r="P4" s="823"/>
    </row>
    <row r="5" spans="1:16" x14ac:dyDescent="0.25">
      <c r="A5" s="70"/>
      <c r="B5" s="995"/>
      <c r="C5" s="995"/>
      <c r="D5" s="995"/>
      <c r="E5" s="995"/>
      <c r="F5" s="1155"/>
      <c r="G5" s="995"/>
      <c r="H5" s="995"/>
      <c r="I5" s="995"/>
      <c r="J5" s="995"/>
      <c r="K5" s="995"/>
      <c r="L5" s="996"/>
      <c r="M5" s="70"/>
      <c r="N5" s="70"/>
      <c r="O5" s="70"/>
      <c r="P5" s="823"/>
    </row>
    <row r="6" spans="1:16" x14ac:dyDescent="0.25">
      <c r="A6" s="1132">
        <v>10.01</v>
      </c>
      <c r="B6" s="1154" t="s">
        <v>1428</v>
      </c>
      <c r="C6" s="1152"/>
      <c r="D6" s="1152"/>
      <c r="E6" s="1152"/>
      <c r="F6" s="1156"/>
      <c r="G6" s="1152"/>
      <c r="H6" s="1152"/>
      <c r="I6" s="1152"/>
      <c r="J6" s="1152"/>
      <c r="K6" s="1152"/>
      <c r="L6" s="1152"/>
      <c r="M6" s="1153"/>
      <c r="N6" s="70"/>
      <c r="O6" s="70"/>
      <c r="P6" s="823"/>
    </row>
    <row r="7" spans="1:16" ht="13.5" customHeight="1" x14ac:dyDescent="0.25">
      <c r="A7" s="581"/>
      <c r="B7" s="576"/>
      <c r="C7" s="576"/>
      <c r="D7" s="576"/>
      <c r="E7" s="576"/>
      <c r="F7" s="576"/>
      <c r="G7" s="576"/>
      <c r="H7" s="576"/>
      <c r="I7" s="576"/>
      <c r="J7" s="576"/>
      <c r="K7" s="576"/>
      <c r="L7" s="138"/>
      <c r="M7" s="138"/>
      <c r="N7" s="70"/>
      <c r="O7" s="70"/>
      <c r="P7" s="823"/>
    </row>
    <row r="8" spans="1:16" ht="13.5" customHeight="1" x14ac:dyDescent="0.25">
      <c r="A8" s="581"/>
      <c r="B8" s="2489"/>
      <c r="C8" s="2489"/>
      <c r="D8" s="2489"/>
      <c r="E8" s="2489"/>
      <c r="F8" s="2489"/>
      <c r="G8" s="2489"/>
      <c r="H8" s="2489"/>
      <c r="I8" s="2489"/>
      <c r="J8" s="2489"/>
      <c r="K8" s="2489"/>
      <c r="L8" s="138"/>
      <c r="M8" s="138"/>
      <c r="N8" s="70"/>
      <c r="O8" s="70"/>
      <c r="P8" s="823"/>
    </row>
    <row r="9" spans="1:16" ht="13.5" customHeight="1" x14ac:dyDescent="0.25">
      <c r="B9" s="3347" t="s">
        <v>1429</v>
      </c>
      <c r="C9" s="3347"/>
      <c r="D9" s="3347"/>
      <c r="E9" s="3347"/>
      <c r="F9" s="3347"/>
      <c r="G9" s="3347"/>
      <c r="H9" s="3347"/>
      <c r="I9" s="3347"/>
      <c r="J9" s="3347"/>
      <c r="K9" s="3347"/>
      <c r="L9" s="3347"/>
      <c r="M9" s="3347"/>
      <c r="N9" s="70"/>
      <c r="O9" s="70"/>
      <c r="P9" s="823"/>
    </row>
    <row r="10" spans="1:16" ht="13.5" customHeight="1" x14ac:dyDescent="0.25">
      <c r="A10" s="581"/>
      <c r="B10" s="576"/>
      <c r="C10" s="576"/>
      <c r="D10" s="576"/>
      <c r="E10" s="576"/>
      <c r="F10" s="576"/>
      <c r="G10" s="576"/>
      <c r="H10" s="576"/>
      <c r="I10" s="576"/>
      <c r="J10" s="576"/>
      <c r="K10" s="576"/>
      <c r="L10" s="576"/>
      <c r="M10" s="576"/>
      <c r="N10" s="70"/>
      <c r="O10" s="70"/>
      <c r="P10" s="1100"/>
    </row>
    <row r="11" spans="1:16" ht="13.5" customHeight="1" x14ac:dyDescent="0.25">
      <c r="A11" s="1132">
        <f>A6+0.01</f>
        <v>10.02</v>
      </c>
      <c r="B11" s="3348" t="s">
        <v>1430</v>
      </c>
      <c r="C11" s="3348"/>
      <c r="D11" s="3348"/>
      <c r="E11" s="3348"/>
      <c r="F11" s="3348"/>
      <c r="G11" s="3348"/>
      <c r="H11" s="3348"/>
      <c r="I11" s="3348"/>
      <c r="J11" s="3348"/>
      <c r="K11" s="3348"/>
      <c r="L11" s="997" t="s">
        <v>1431</v>
      </c>
      <c r="M11" s="997" t="s">
        <v>1432</v>
      </c>
      <c r="N11" s="70"/>
      <c r="O11" s="70"/>
      <c r="P11" s="1101"/>
    </row>
    <row r="12" spans="1:16" ht="13.5" customHeight="1" x14ac:dyDescent="0.25">
      <c r="A12" s="576"/>
      <c r="B12" s="3348"/>
      <c r="C12" s="3348"/>
      <c r="D12" s="3348"/>
      <c r="E12" s="3348"/>
      <c r="F12" s="3348"/>
      <c r="G12" s="3348"/>
      <c r="H12" s="3348"/>
      <c r="I12" s="3348"/>
      <c r="J12" s="3348"/>
      <c r="K12" s="3348"/>
      <c r="L12" s="70"/>
      <c r="M12" s="138"/>
      <c r="N12" s="70"/>
      <c r="O12" s="70"/>
      <c r="P12" s="823"/>
    </row>
    <row r="13" spans="1:16" ht="13.5" customHeight="1" x14ac:dyDescent="0.25">
      <c r="A13" s="576"/>
      <c r="B13" s="576"/>
      <c r="C13" s="2489"/>
      <c r="D13" s="2489"/>
      <c r="E13" s="2489"/>
      <c r="F13" s="2489"/>
      <c r="G13" s="2489"/>
      <c r="H13" s="2489"/>
      <c r="I13" s="2489"/>
      <c r="J13" s="2489"/>
      <c r="K13" s="2489"/>
      <c r="L13" s="2489"/>
      <c r="M13" s="138"/>
      <c r="N13" s="70"/>
      <c r="O13" s="70"/>
      <c r="P13" s="1100"/>
    </row>
    <row r="14" spans="1:16" ht="13.5" customHeight="1" x14ac:dyDescent="0.25">
      <c r="A14" s="1210">
        <f>A11+0.01</f>
        <v>10.029999999999999</v>
      </c>
      <c r="B14" s="3348" t="s">
        <v>1433</v>
      </c>
      <c r="C14" s="3348"/>
      <c r="D14" s="3348"/>
      <c r="E14" s="3348"/>
      <c r="F14" s="3348"/>
      <c r="G14" s="3348"/>
      <c r="H14" s="3348"/>
      <c r="I14" s="3348"/>
      <c r="J14" s="3348"/>
      <c r="K14" s="3348"/>
      <c r="L14" s="997" t="s">
        <v>1431</v>
      </c>
      <c r="M14" s="997" t="s">
        <v>1432</v>
      </c>
      <c r="N14" s="70"/>
      <c r="O14" s="70"/>
      <c r="P14" s="1101"/>
    </row>
    <row r="15" spans="1:16" ht="13.5" customHeight="1" x14ac:dyDescent="0.25">
      <c r="A15" s="576"/>
      <c r="B15" s="3348"/>
      <c r="C15" s="3348"/>
      <c r="D15" s="3348"/>
      <c r="E15" s="3348"/>
      <c r="F15" s="3348"/>
      <c r="G15" s="3348"/>
      <c r="H15" s="3348"/>
      <c r="I15" s="3348"/>
      <c r="J15" s="3348"/>
      <c r="K15" s="3348"/>
      <c r="L15" s="70"/>
      <c r="M15" s="138"/>
      <c r="N15" s="70"/>
      <c r="O15" s="70"/>
      <c r="P15" s="823"/>
    </row>
    <row r="16" spans="1:16" ht="13.5" customHeight="1" x14ac:dyDescent="0.25">
      <c r="A16" s="576"/>
      <c r="B16" s="576"/>
      <c r="C16" s="998"/>
      <c r="D16" s="576"/>
      <c r="E16" s="576"/>
      <c r="F16" s="576"/>
      <c r="G16" s="576"/>
      <c r="H16" s="576"/>
      <c r="I16" s="576"/>
      <c r="J16" s="576"/>
      <c r="K16" s="576"/>
      <c r="L16" s="576"/>
      <c r="M16" s="138"/>
      <c r="N16" s="70"/>
      <c r="O16" s="70"/>
      <c r="P16" s="1100"/>
    </row>
    <row r="17" spans="1:16" ht="13.5" customHeight="1" x14ac:dyDescent="0.25">
      <c r="A17" s="1210">
        <f>A14+0.01</f>
        <v>10.039999999999999</v>
      </c>
      <c r="B17" s="3348" t="s">
        <v>1434</v>
      </c>
      <c r="C17" s="3348"/>
      <c r="D17" s="3348"/>
      <c r="E17" s="3348"/>
      <c r="F17" s="3348"/>
      <c r="G17" s="3348"/>
      <c r="H17" s="3348"/>
      <c r="I17" s="3348"/>
      <c r="J17" s="3348"/>
      <c r="K17" s="3348"/>
      <c r="L17" s="997" t="s">
        <v>1431</v>
      </c>
      <c r="M17" s="997" t="s">
        <v>1432</v>
      </c>
      <c r="N17" s="70"/>
      <c r="O17" s="70"/>
      <c r="P17" s="1101"/>
    </row>
    <row r="18" spans="1:16" x14ac:dyDescent="0.25">
      <c r="A18" s="576"/>
      <c r="B18" s="3348"/>
      <c r="C18" s="3348"/>
      <c r="D18" s="3348"/>
      <c r="E18" s="3348"/>
      <c r="F18" s="3348"/>
      <c r="G18" s="3348"/>
      <c r="H18" s="3348"/>
      <c r="I18" s="3348"/>
      <c r="J18" s="3348"/>
      <c r="K18" s="3348"/>
      <c r="L18" s="70"/>
      <c r="M18" s="138"/>
      <c r="N18" s="70"/>
      <c r="O18" s="70"/>
      <c r="P18" s="823"/>
    </row>
    <row r="19" spans="1:16" x14ac:dyDescent="0.25">
      <c r="A19" s="576"/>
      <c r="B19" s="576"/>
      <c r="C19" s="998"/>
      <c r="D19" s="576"/>
      <c r="E19" s="576"/>
      <c r="F19" s="576"/>
      <c r="G19" s="576"/>
      <c r="H19" s="576"/>
      <c r="I19" s="576"/>
      <c r="J19" s="576"/>
      <c r="K19" s="576"/>
      <c r="L19" s="576"/>
      <c r="M19" s="138"/>
      <c r="N19" s="70"/>
      <c r="O19" s="70"/>
      <c r="P19" s="1100"/>
    </row>
    <row r="20" spans="1:16" x14ac:dyDescent="0.25">
      <c r="A20" s="1210">
        <f>A17+0.01</f>
        <v>10.049999999999999</v>
      </c>
      <c r="B20" s="3348" t="s">
        <v>1435</v>
      </c>
      <c r="C20" s="3348"/>
      <c r="D20" s="3348"/>
      <c r="E20" s="3348"/>
      <c r="F20" s="3348"/>
      <c r="G20" s="3348"/>
      <c r="H20" s="3348"/>
      <c r="I20" s="3348"/>
      <c r="J20" s="3348"/>
      <c r="K20" s="3348"/>
      <c r="L20" s="997" t="s">
        <v>1431</v>
      </c>
      <c r="M20" s="997" t="s">
        <v>1432</v>
      </c>
      <c r="N20" s="70"/>
      <c r="O20" s="70"/>
      <c r="P20" s="1101"/>
    </row>
    <row r="21" spans="1:16" x14ac:dyDescent="0.25">
      <c r="A21" s="576"/>
      <c r="B21" s="3348"/>
      <c r="C21" s="3348"/>
      <c r="D21" s="3348"/>
      <c r="E21" s="3348"/>
      <c r="F21" s="3348"/>
      <c r="G21" s="3348"/>
      <c r="H21" s="3348"/>
      <c r="I21" s="3348"/>
      <c r="J21" s="3348"/>
      <c r="K21" s="3348"/>
      <c r="L21" s="70"/>
      <c r="M21" s="138"/>
      <c r="N21" s="70"/>
      <c r="O21" s="70"/>
      <c r="P21" s="823"/>
    </row>
    <row r="22" spans="1:16" x14ac:dyDescent="0.25">
      <c r="A22" s="576"/>
      <c r="B22" s="576"/>
      <c r="C22" s="999"/>
      <c r="D22" s="138"/>
      <c r="E22" s="577"/>
      <c r="F22" s="2489"/>
      <c r="G22" s="2489"/>
      <c r="H22" s="2489"/>
      <c r="I22" s="2489"/>
      <c r="J22" s="2489"/>
      <c r="K22" s="2489"/>
      <c r="L22" s="138"/>
      <c r="M22" s="138"/>
      <c r="N22" s="70"/>
      <c r="O22" s="70"/>
      <c r="P22" s="1100"/>
    </row>
    <row r="23" spans="1:16" x14ac:dyDescent="0.25">
      <c r="A23" s="1210">
        <f>A20+0.01</f>
        <v>10.059999999999999</v>
      </c>
      <c r="B23" s="3349" t="s">
        <v>1436</v>
      </c>
      <c r="C23" s="3349"/>
      <c r="D23" s="3349"/>
      <c r="E23" s="3349"/>
      <c r="F23" s="3349"/>
      <c r="G23" s="3349"/>
      <c r="H23" s="3349"/>
      <c r="I23" s="3349"/>
      <c r="J23" s="3349"/>
      <c r="K23" s="3349"/>
      <c r="L23" s="997" t="s">
        <v>1431</v>
      </c>
      <c r="M23" s="997" t="s">
        <v>1432</v>
      </c>
      <c r="N23" s="70"/>
      <c r="O23" s="70"/>
      <c r="P23" s="1101"/>
    </row>
    <row r="24" spans="1:16" x14ac:dyDescent="0.25">
      <c r="A24" s="576"/>
      <c r="B24" s="3349"/>
      <c r="C24" s="3349"/>
      <c r="D24" s="3349"/>
      <c r="E24" s="3349"/>
      <c r="F24" s="3349"/>
      <c r="G24" s="3349"/>
      <c r="H24" s="3349"/>
      <c r="I24" s="3349"/>
      <c r="J24" s="3349"/>
      <c r="K24" s="3349"/>
      <c r="L24" s="70"/>
      <c r="M24" s="138"/>
      <c r="N24" s="70"/>
      <c r="O24" s="70"/>
      <c r="P24" s="823"/>
    </row>
    <row r="25" spans="1:16" x14ac:dyDescent="0.25">
      <c r="A25" s="576"/>
      <c r="B25" s="576"/>
      <c r="C25" s="138"/>
      <c r="D25" s="2489"/>
      <c r="E25" s="2489"/>
      <c r="F25" s="2489"/>
      <c r="G25" s="2489"/>
      <c r="H25" s="2489"/>
      <c r="I25" s="2489"/>
      <c r="J25" s="2489"/>
      <c r="K25" s="2489"/>
      <c r="L25" s="138"/>
      <c r="M25" s="138"/>
      <c r="N25" s="70"/>
      <c r="O25" s="70"/>
      <c r="P25" s="1333"/>
    </row>
    <row r="26" spans="1:16" ht="13.5" customHeight="1" x14ac:dyDescent="0.25">
      <c r="A26" s="1210">
        <f>A23+0.01</f>
        <v>10.069999999999999</v>
      </c>
      <c r="B26" s="3348" t="s">
        <v>1437</v>
      </c>
      <c r="C26" s="3348"/>
      <c r="D26" s="3348"/>
      <c r="E26" s="3348"/>
      <c r="F26" s="3348"/>
      <c r="G26" s="3348"/>
      <c r="H26" s="3348"/>
      <c r="I26" s="3348"/>
      <c r="J26" s="3348"/>
      <c r="K26" s="3348"/>
      <c r="L26" s="997" t="s">
        <v>1431</v>
      </c>
      <c r="M26" s="997" t="s">
        <v>1432</v>
      </c>
      <c r="N26" s="70"/>
      <c r="O26" s="70"/>
      <c r="P26" s="1100"/>
    </row>
    <row r="27" spans="1:16" x14ac:dyDescent="0.25">
      <c r="A27" s="576"/>
      <c r="B27" s="3348"/>
      <c r="C27" s="3348"/>
      <c r="D27" s="3348"/>
      <c r="E27" s="3348"/>
      <c r="F27" s="3348"/>
      <c r="G27" s="3348"/>
      <c r="H27" s="3348"/>
      <c r="I27" s="3348"/>
      <c r="J27" s="3348"/>
      <c r="K27" s="3348"/>
      <c r="L27" s="70"/>
      <c r="M27" s="138"/>
      <c r="N27" s="70"/>
      <c r="O27" s="70"/>
      <c r="P27" s="1101"/>
    </row>
    <row r="28" spans="1:16" x14ac:dyDescent="0.25">
      <c r="A28" s="576"/>
      <c r="B28" s="3348"/>
      <c r="C28" s="3348"/>
      <c r="D28" s="3348"/>
      <c r="E28" s="3348"/>
      <c r="F28" s="3348"/>
      <c r="G28" s="3348"/>
      <c r="H28" s="3348"/>
      <c r="I28" s="3348"/>
      <c r="J28" s="3348"/>
      <c r="K28" s="3348"/>
      <c r="L28" s="576"/>
      <c r="M28" s="138"/>
      <c r="N28" s="70"/>
      <c r="O28" s="70"/>
      <c r="P28" s="1333"/>
    </row>
    <row r="29" spans="1:16" x14ac:dyDescent="0.25">
      <c r="A29" s="3350">
        <f>A26+0.01</f>
        <v>10.079999999999998</v>
      </c>
      <c r="B29" s="3351" t="s">
        <v>1438</v>
      </c>
      <c r="C29" s="3351"/>
      <c r="D29" s="3351"/>
      <c r="E29" s="3351"/>
      <c r="F29" s="3351"/>
      <c r="G29" s="3351"/>
      <c r="H29" s="3351"/>
      <c r="I29" s="3351"/>
      <c r="J29" s="3351"/>
      <c r="K29" s="3351"/>
      <c r="L29" s="3352" t="s">
        <v>1431</v>
      </c>
      <c r="M29" s="3352" t="s">
        <v>1432</v>
      </c>
      <c r="N29" s="70"/>
      <c r="O29" s="70"/>
      <c r="P29" s="1100"/>
    </row>
    <row r="30" spans="1:16" ht="13.5" customHeight="1" x14ac:dyDescent="0.25">
      <c r="A30" s="3350"/>
      <c r="B30" s="3351"/>
      <c r="C30" s="3351"/>
      <c r="D30" s="3351"/>
      <c r="E30" s="3351"/>
      <c r="F30" s="3351"/>
      <c r="G30" s="3351"/>
      <c r="H30" s="3351"/>
      <c r="I30" s="3351"/>
      <c r="J30" s="3351"/>
      <c r="K30" s="3351"/>
      <c r="L30" s="3352"/>
      <c r="M30" s="3352"/>
      <c r="N30" s="70"/>
      <c r="O30" s="70"/>
      <c r="P30" s="1101"/>
    </row>
    <row r="31" spans="1:16" ht="13.5" customHeight="1" x14ac:dyDescent="0.25">
      <c r="A31" s="576"/>
      <c r="B31" s="576"/>
      <c r="C31" s="999"/>
      <c r="D31" s="576"/>
      <c r="E31" s="576"/>
      <c r="F31" s="576"/>
      <c r="G31" s="576"/>
      <c r="H31" s="576"/>
      <c r="I31" s="576"/>
      <c r="J31" s="576"/>
      <c r="K31" s="576"/>
      <c r="L31" s="576"/>
      <c r="M31" s="138"/>
      <c r="N31" s="70"/>
      <c r="O31" s="70"/>
      <c r="P31" s="1333"/>
    </row>
    <row r="32" spans="1:16" ht="13.5" customHeight="1" x14ac:dyDescent="0.25">
      <c r="A32" s="3350">
        <f>A29+0.01</f>
        <v>10.089999999999998</v>
      </c>
      <c r="B32" s="3353" t="s">
        <v>1439</v>
      </c>
      <c r="C32" s="3353"/>
      <c r="D32" s="3353"/>
      <c r="E32" s="3353"/>
      <c r="F32" s="3353"/>
      <c r="G32" s="3353"/>
      <c r="H32" s="3353"/>
      <c r="I32" s="3353"/>
      <c r="J32" s="3353"/>
      <c r="K32" s="3353"/>
      <c r="L32" s="3352" t="s">
        <v>1431</v>
      </c>
      <c r="M32" s="3352" t="s">
        <v>1432</v>
      </c>
      <c r="N32" s="70"/>
      <c r="O32" s="70"/>
      <c r="P32" s="1100"/>
    </row>
    <row r="33" spans="1:16" x14ac:dyDescent="0.25">
      <c r="A33" s="3350"/>
      <c r="B33" s="3353"/>
      <c r="C33" s="3353"/>
      <c r="D33" s="3353"/>
      <c r="E33" s="3353"/>
      <c r="F33" s="3353"/>
      <c r="G33" s="3353"/>
      <c r="H33" s="3353"/>
      <c r="I33" s="3353"/>
      <c r="J33" s="3353"/>
      <c r="K33" s="3353"/>
      <c r="L33" s="3352"/>
      <c r="M33" s="3352"/>
      <c r="N33" s="70"/>
      <c r="O33" s="70"/>
      <c r="P33" s="1101"/>
    </row>
    <row r="34" spans="1:16" x14ac:dyDescent="0.25">
      <c r="A34" s="576"/>
      <c r="B34" s="576"/>
      <c r="C34" s="999"/>
      <c r="D34" s="576"/>
      <c r="E34" s="576"/>
      <c r="F34" s="576"/>
      <c r="G34" s="576"/>
      <c r="H34" s="576"/>
      <c r="I34" s="576"/>
      <c r="J34" s="576"/>
      <c r="K34" s="576"/>
      <c r="L34" s="576"/>
      <c r="M34" s="138"/>
      <c r="N34" s="70"/>
      <c r="O34" s="70"/>
      <c r="P34" s="1333"/>
    </row>
    <row r="35" spans="1:16" x14ac:dyDescent="0.25">
      <c r="A35" s="1210">
        <f>A32+0.01</f>
        <v>10.099999999999998</v>
      </c>
      <c r="B35" s="3349" t="s">
        <v>1440</v>
      </c>
      <c r="C35" s="3349"/>
      <c r="D35" s="3349"/>
      <c r="E35" s="3349"/>
      <c r="F35" s="3349"/>
      <c r="G35" s="3349"/>
      <c r="H35" s="3349"/>
      <c r="I35" s="3349"/>
      <c r="J35" s="3349"/>
      <c r="K35" s="3349"/>
      <c r="L35" s="997" t="s">
        <v>1431</v>
      </c>
      <c r="M35" s="997" t="s">
        <v>1432</v>
      </c>
      <c r="N35" s="70"/>
      <c r="O35" s="70"/>
      <c r="P35" s="1100"/>
    </row>
    <row r="36" spans="1:16" x14ac:dyDescent="0.25">
      <c r="A36" s="576"/>
      <c r="B36" s="3349"/>
      <c r="C36" s="3349"/>
      <c r="D36" s="3349"/>
      <c r="E36" s="3349"/>
      <c r="F36" s="3349"/>
      <c r="G36" s="3349"/>
      <c r="H36" s="3349"/>
      <c r="I36" s="3349"/>
      <c r="J36" s="3349"/>
      <c r="K36" s="3349"/>
      <c r="L36" s="70"/>
      <c r="M36" s="138"/>
      <c r="N36" s="70"/>
      <c r="O36" s="70"/>
      <c r="P36" s="1101"/>
    </row>
    <row r="37" spans="1:16" x14ac:dyDescent="0.25">
      <c r="A37" s="576"/>
      <c r="B37" s="576"/>
      <c r="C37" s="138"/>
      <c r="D37" s="576"/>
      <c r="E37" s="576"/>
      <c r="F37" s="576"/>
      <c r="G37" s="576"/>
      <c r="H37" s="576"/>
      <c r="I37" s="576"/>
      <c r="J37" s="576"/>
      <c r="K37" s="576"/>
      <c r="L37" s="576"/>
      <c r="M37" s="138"/>
      <c r="N37" s="70"/>
      <c r="O37" s="70"/>
      <c r="P37" s="1333"/>
    </row>
    <row r="38" spans="1:16" x14ac:dyDescent="0.25">
      <c r="A38" s="1210">
        <f>A35+0.01</f>
        <v>10.109999999999998</v>
      </c>
      <c r="B38" s="998" t="str">
        <f>CONCATENATE("Est-ce que la réponse à une des questions (",A11,")"," à ","(",TEXT(A35,"0.00"),") est positive?")</f>
        <v>Est-ce que la réponse à une des questions (10.02) à (10.10) est positive?</v>
      </c>
      <c r="C38" s="138"/>
      <c r="D38" s="2489"/>
      <c r="E38" s="2489"/>
      <c r="F38" s="2489"/>
      <c r="G38" s="2489"/>
      <c r="H38" s="2489"/>
      <c r="I38" s="2489"/>
      <c r="J38" s="2489"/>
      <c r="K38" s="2489"/>
      <c r="L38" s="997" t="s">
        <v>1431</v>
      </c>
      <c r="M38" s="1000" t="s">
        <v>1441</v>
      </c>
      <c r="N38" s="73" t="s">
        <v>1442</v>
      </c>
      <c r="O38" s="73"/>
      <c r="P38" s="1334"/>
    </row>
    <row r="39" spans="1:16" ht="13" x14ac:dyDescent="0.25">
      <c r="A39" s="579"/>
      <c r="B39" s="579"/>
      <c r="C39" s="579"/>
      <c r="D39" s="579"/>
      <c r="E39" s="579"/>
      <c r="F39" s="579"/>
      <c r="G39" s="579"/>
      <c r="H39" s="579"/>
      <c r="I39" s="579"/>
      <c r="J39" s="579"/>
      <c r="K39" s="579"/>
      <c r="L39" s="579"/>
      <c r="M39" s="579"/>
      <c r="P39" s="1651"/>
    </row>
  </sheetData>
  <mergeCells count="16">
    <mergeCell ref="L29:L30"/>
    <mergeCell ref="M29:M30"/>
    <mergeCell ref="A32:A33"/>
    <mergeCell ref="B32:K33"/>
    <mergeCell ref="L32:L33"/>
    <mergeCell ref="M32:M33"/>
    <mergeCell ref="B23:K24"/>
    <mergeCell ref="B35:K36"/>
    <mergeCell ref="B26:K28"/>
    <mergeCell ref="A29:A30"/>
    <mergeCell ref="B29:K30"/>
    <mergeCell ref="B9:M9"/>
    <mergeCell ref="B11:K12"/>
    <mergeCell ref="B14:K15"/>
    <mergeCell ref="B17:K18"/>
    <mergeCell ref="B20:K21"/>
  </mergeCells>
  <pageMargins left="0.314" right="0.314" top="0.11799999999999999" bottom="0.27500000000000002" header="0.157" footer="0.11799999999999999"/>
  <pageSetup scale="90" firstPageNumber="23" orientation="landscape" r:id="rId1"/>
  <headerFooter>
    <oddFooter>&amp;C&amp;P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A1:DM36"/>
  <sheetViews>
    <sheetView topLeftCell="BX6" zoomScale="120" zoomScaleNormal="120" zoomScaleSheetLayoutView="120" workbookViewId="0">
      <selection activeCell="CA11" sqref="CA11:CA24"/>
    </sheetView>
  </sheetViews>
  <sheetFormatPr defaultColWidth="11.453125" defaultRowHeight="12.5" x14ac:dyDescent="0.25"/>
  <cols>
    <col min="1" max="1" width="4" style="488" customWidth="1"/>
    <col min="2" max="2" width="8.1796875" style="488" customWidth="1"/>
    <col min="3" max="3" width="10" style="488" customWidth="1"/>
    <col min="4" max="4" width="6.7265625" style="488" customWidth="1"/>
    <col min="5" max="5" width="7" style="488" customWidth="1"/>
    <col min="6" max="6" width="11" style="488" customWidth="1"/>
    <col min="7" max="7" width="11.453125" style="488" customWidth="1"/>
    <col min="8" max="8" width="8.7265625" style="488" customWidth="1"/>
    <col min="9" max="9" width="8" style="488" customWidth="1"/>
    <col min="10" max="10" width="7.7265625" style="488" customWidth="1"/>
    <col min="11" max="11" width="6.7265625" style="488" customWidth="1"/>
    <col min="12" max="12" width="7" style="488" customWidth="1"/>
    <col min="13" max="13" width="10" style="488" customWidth="1"/>
    <col min="14" max="14" width="10.453125" style="488" customWidth="1"/>
    <col min="15" max="15" width="14" style="488" customWidth="1"/>
    <col min="16" max="16" width="4" style="488" customWidth="1"/>
    <col min="17" max="17" width="11.453125" style="991" customWidth="1"/>
    <col min="18" max="18" width="7.453125" style="991" customWidth="1"/>
    <col min="19" max="19" width="9.453125" style="991" customWidth="1"/>
    <col min="20" max="20" width="9.453125" style="488" customWidth="1"/>
    <col min="21" max="21" width="7.7265625" style="488" customWidth="1"/>
    <col min="22" max="22" width="7" style="488" customWidth="1"/>
    <col min="23" max="23" width="8" style="488" customWidth="1"/>
    <col min="24" max="24" width="11.1796875" style="488" customWidth="1"/>
    <col min="25" max="25" width="7.1796875" style="488" customWidth="1"/>
    <col min="26" max="26" width="8.453125" style="488" customWidth="1"/>
    <col min="27" max="27" width="9.1796875" style="488" customWidth="1"/>
    <col min="28" max="28" width="12" style="488" customWidth="1"/>
    <col min="29" max="29" width="22" style="488" customWidth="1"/>
    <col min="30" max="30" width="4" style="488" customWidth="1"/>
    <col min="31" max="31" width="9.81640625" style="488" customWidth="1"/>
    <col min="32" max="32" width="12.453125" style="488" customWidth="1"/>
    <col min="33" max="33" width="10" style="488" customWidth="1"/>
    <col min="34" max="34" width="12" style="488" customWidth="1"/>
    <col min="35" max="35" width="10.1796875" style="488" customWidth="1"/>
    <col min="36" max="36" width="10.453125" style="488" customWidth="1"/>
    <col min="37" max="37" width="11" style="488" customWidth="1"/>
    <col min="38" max="38" width="12.1796875" style="488" customWidth="1"/>
    <col min="39" max="39" width="22.1796875" style="488" customWidth="1"/>
    <col min="40" max="40" width="18.453125" style="488" customWidth="1"/>
    <col min="41" max="41" width="4" style="488" customWidth="1"/>
    <col min="42" max="43" width="6.1796875" style="488" customWidth="1"/>
    <col min="44" max="45" width="5.1796875" style="2208" customWidth="1"/>
    <col min="46" max="55" width="5.1796875" style="488" customWidth="1"/>
    <col min="56" max="56" width="6" style="488" customWidth="1"/>
    <col min="57" max="60" width="5.1796875" style="488" customWidth="1"/>
    <col min="61" max="61" width="13.1796875" customWidth="1"/>
    <col min="62" max="62" width="13" customWidth="1"/>
    <col min="63" max="63" width="12.453125" customWidth="1"/>
    <col min="64" max="64" width="13" customWidth="1"/>
    <col min="65" max="65" width="4" style="488" customWidth="1"/>
    <col min="66" max="66" width="12.453125" customWidth="1"/>
    <col min="67" max="71" width="13" customWidth="1"/>
    <col min="72" max="73" width="13.1796875" customWidth="1"/>
    <col min="74" max="74" width="16.453125" customWidth="1"/>
    <col min="75" max="76" width="8.7265625" customWidth="1"/>
    <col min="77" max="77" width="11.7265625" customWidth="1"/>
    <col min="78" max="78" width="4" style="488" customWidth="1"/>
    <col min="79" max="79" width="30.26953125" customWidth="1"/>
    <col min="80" max="95" width="6.7265625" customWidth="1"/>
    <col min="96" max="96" width="4" style="488" customWidth="1"/>
    <col min="97" max="112" width="5.81640625" customWidth="1"/>
    <col min="113" max="113" width="7.81640625" customWidth="1"/>
    <col min="114" max="117" width="10.81640625" customWidth="1"/>
  </cols>
  <sheetData>
    <row r="1" spans="1:117" ht="13" x14ac:dyDescent="0.3">
      <c r="A1" s="487" t="s">
        <v>1426</v>
      </c>
      <c r="P1" s="487" t="s">
        <v>1426</v>
      </c>
      <c r="AD1" s="487" t="s">
        <v>1426</v>
      </c>
      <c r="AO1" s="487" t="s">
        <v>1426</v>
      </c>
      <c r="AS1" s="2208" t="s">
        <v>1443</v>
      </c>
      <c r="BM1" s="487" t="s">
        <v>1426</v>
      </c>
      <c r="BZ1" s="487" t="s">
        <v>1426</v>
      </c>
      <c r="CR1" s="487" t="s">
        <v>1426</v>
      </c>
      <c r="CS1" s="487"/>
    </row>
    <row r="2" spans="1:117" ht="13" x14ac:dyDescent="0.25">
      <c r="A2" s="2494" t="s">
        <v>1444</v>
      </c>
      <c r="P2" s="2494" t="s">
        <v>1444</v>
      </c>
      <c r="AD2" s="2494" t="s">
        <v>1444</v>
      </c>
      <c r="AO2" s="2494" t="s">
        <v>1444</v>
      </c>
      <c r="BM2" s="3416" t="s">
        <v>1444</v>
      </c>
      <c r="BN2" s="3416"/>
      <c r="BO2" s="3416"/>
      <c r="BP2" s="3416"/>
      <c r="BQ2" s="3416"/>
      <c r="BR2" s="3416"/>
      <c r="BX2" s="71"/>
      <c r="BY2" s="71"/>
      <c r="BZ2" s="2494" t="s">
        <v>1444</v>
      </c>
      <c r="CA2" s="71"/>
      <c r="CB2" s="71"/>
      <c r="CC2" s="71"/>
      <c r="CD2" s="71"/>
      <c r="CE2" s="71"/>
      <c r="CF2" s="71"/>
      <c r="CG2" s="71"/>
      <c r="CH2" s="71"/>
      <c r="CI2" s="71"/>
      <c r="CJ2" s="71"/>
      <c r="CK2" s="71"/>
      <c r="CL2" s="71"/>
      <c r="CM2" s="71"/>
      <c r="CN2" s="71"/>
      <c r="CO2" s="71"/>
      <c r="CP2" s="71"/>
      <c r="CQ2" s="71"/>
      <c r="CR2" s="2494" t="s">
        <v>1444</v>
      </c>
      <c r="CS2" s="398"/>
      <c r="CT2" s="71"/>
      <c r="CU2" s="71"/>
      <c r="CV2" s="71"/>
      <c r="CW2" s="71"/>
      <c r="CX2" s="71"/>
      <c r="CY2" s="71"/>
      <c r="CZ2" s="71"/>
      <c r="DA2" s="71"/>
      <c r="DB2" s="71"/>
      <c r="DC2" s="71"/>
      <c r="DD2" s="71"/>
      <c r="DE2" s="71"/>
      <c r="DF2" s="71"/>
      <c r="DG2" s="71"/>
      <c r="DH2" s="71"/>
    </row>
    <row r="3" spans="1:117" ht="15.5" x14ac:dyDescent="0.25">
      <c r="A3" s="489"/>
      <c r="P3" s="489"/>
      <c r="AD3" s="489"/>
      <c r="AO3" s="489"/>
      <c r="BM3" s="489"/>
      <c r="BN3" s="10"/>
      <c r="BX3" s="71"/>
      <c r="BY3" s="71"/>
      <c r="BZ3" s="489"/>
      <c r="CA3" s="71"/>
      <c r="CB3" s="71"/>
      <c r="CC3" s="71"/>
      <c r="CD3" s="71"/>
      <c r="CE3" s="71"/>
      <c r="CF3" s="71"/>
      <c r="CG3" s="71"/>
      <c r="CH3" s="71"/>
      <c r="CI3" s="71"/>
      <c r="CJ3" s="71"/>
      <c r="CK3" s="71"/>
      <c r="CL3" s="71"/>
      <c r="CM3" s="71"/>
      <c r="CN3" s="71"/>
      <c r="CO3" s="71"/>
      <c r="CP3" s="71"/>
      <c r="CQ3" s="71"/>
      <c r="CR3" s="489"/>
      <c r="CS3" s="398"/>
      <c r="CT3" s="71"/>
      <c r="CU3" s="71"/>
      <c r="CV3" s="71"/>
      <c r="CW3" s="71"/>
      <c r="CX3" s="71"/>
      <c r="CY3" s="71"/>
      <c r="CZ3" s="71"/>
      <c r="DA3" s="71"/>
      <c r="DB3" s="71"/>
      <c r="DC3" s="71"/>
      <c r="DD3" s="71"/>
      <c r="DE3" s="71"/>
      <c r="DF3" s="71"/>
      <c r="DG3" s="71"/>
      <c r="DH3" s="71"/>
    </row>
    <row r="4" spans="1:117" ht="15.5" x14ac:dyDescent="0.3">
      <c r="A4" s="490"/>
      <c r="B4" s="4" t="s">
        <v>1445</v>
      </c>
      <c r="C4" s="4"/>
      <c r="D4" s="587"/>
      <c r="E4" s="491"/>
      <c r="F4" s="4"/>
      <c r="I4" s="492"/>
      <c r="J4" s="492"/>
      <c r="K4" s="587"/>
      <c r="L4" s="587"/>
      <c r="P4" s="490"/>
      <c r="AD4" s="490"/>
      <c r="AO4" s="490"/>
      <c r="BM4" s="490"/>
      <c r="BN4" s="10"/>
      <c r="BX4" s="71"/>
      <c r="BY4" s="71"/>
      <c r="BZ4" s="490"/>
      <c r="CA4" s="71"/>
      <c r="CB4" s="71"/>
      <c r="CC4" s="71"/>
      <c r="CD4" s="71"/>
      <c r="CE4" s="71"/>
      <c r="CF4" s="71"/>
      <c r="CG4" s="71"/>
      <c r="CH4" s="71"/>
      <c r="CI4" s="71"/>
      <c r="CJ4" s="71"/>
      <c r="CK4" s="71"/>
      <c r="CL4" s="71"/>
      <c r="CM4" s="71"/>
      <c r="CN4" s="71"/>
      <c r="CO4" s="71"/>
      <c r="CP4" s="71"/>
      <c r="CQ4" s="71"/>
      <c r="CR4" s="490"/>
      <c r="CS4" s="71"/>
      <c r="CT4" s="71"/>
      <c r="CU4" s="71"/>
      <c r="CV4" s="71"/>
      <c r="CW4" s="71"/>
      <c r="CX4" s="71"/>
      <c r="CY4" s="71"/>
      <c r="CZ4" s="71"/>
      <c r="DA4" s="71"/>
      <c r="DB4" s="71"/>
      <c r="DC4" s="71"/>
      <c r="DD4" s="71"/>
      <c r="DE4" s="71"/>
      <c r="DF4" s="71"/>
      <c r="DG4" s="71"/>
      <c r="DH4" s="71"/>
    </row>
    <row r="5" spans="1:117" ht="13.5" customHeight="1" x14ac:dyDescent="0.25">
      <c r="BX5" s="71"/>
      <c r="BY5" s="71"/>
      <c r="CA5" s="71"/>
      <c r="CB5" s="71"/>
      <c r="CC5" s="71"/>
      <c r="CD5" s="71"/>
      <c r="CE5" s="71"/>
      <c r="CF5" s="71"/>
      <c r="CG5" s="71"/>
      <c r="CH5" s="71"/>
      <c r="CI5" s="71"/>
      <c r="CJ5" s="71"/>
      <c r="CK5" s="71"/>
      <c r="CL5" s="71"/>
      <c r="CM5" s="71"/>
      <c r="CN5" s="71"/>
      <c r="CO5" s="71"/>
      <c r="CP5" s="71"/>
      <c r="CQ5" s="71"/>
      <c r="CS5" s="71"/>
      <c r="CT5" s="71"/>
      <c r="CU5" s="71"/>
      <c r="CV5" s="71"/>
      <c r="CW5" s="71"/>
      <c r="CX5" s="71"/>
      <c r="CY5" s="71"/>
      <c r="CZ5" s="71"/>
      <c r="DA5" s="71"/>
      <c r="DB5" s="71"/>
      <c r="DC5" s="71"/>
      <c r="DD5" s="71"/>
      <c r="DE5" s="71"/>
      <c r="DF5" s="71"/>
      <c r="DG5" s="71"/>
      <c r="DH5" s="71"/>
    </row>
    <row r="6" spans="1:117" ht="13.5" customHeight="1" x14ac:dyDescent="0.25">
      <c r="A6" s="3354" t="s">
        <v>1446</v>
      </c>
      <c r="B6" s="2499">
        <f>10.13</f>
        <v>10.130000000000001</v>
      </c>
      <c r="C6" s="2499">
        <f>B6+0.01</f>
        <v>10.14</v>
      </c>
      <c r="D6" s="2499">
        <f>C6+0.01</f>
        <v>10.15</v>
      </c>
      <c r="E6" s="937"/>
      <c r="F6" s="2499">
        <f>D6+0.01</f>
        <v>10.16</v>
      </c>
      <c r="G6" s="493"/>
      <c r="H6" s="2500">
        <f>F6+0.01</f>
        <v>10.17</v>
      </c>
      <c r="I6" s="3357">
        <f>H6+0.01</f>
        <v>10.18</v>
      </c>
      <c r="J6" s="3358"/>
      <c r="K6" s="3357">
        <f>I6+0.01</f>
        <v>10.19</v>
      </c>
      <c r="L6" s="3358"/>
      <c r="M6" s="1330">
        <f>K6+0.01</f>
        <v>10.199999999999999</v>
      </c>
      <c r="N6" s="494">
        <f>M6+0.01</f>
        <v>10.209999999999999</v>
      </c>
      <c r="O6" s="494">
        <f>N6+0.01</f>
        <v>10.219999999999999</v>
      </c>
      <c r="P6" s="3354" t="s">
        <v>1446</v>
      </c>
      <c r="Q6" s="2501">
        <f>O6+0.01</f>
        <v>10.229999999999999</v>
      </c>
      <c r="R6" s="1405"/>
      <c r="S6" s="494">
        <f>Q6+0.01</f>
        <v>10.239999999999998</v>
      </c>
      <c r="T6" s="494">
        <f>S6+0.01</f>
        <v>10.249999999999998</v>
      </c>
      <c r="U6" s="494">
        <f>T6+0.01</f>
        <v>10.259999999999998</v>
      </c>
      <c r="V6" s="495">
        <f>U6+0.01</f>
        <v>10.269999999999998</v>
      </c>
      <c r="W6" s="495">
        <f t="shared" ref="W6:AB6" si="0">V6+0.01</f>
        <v>10.279999999999998</v>
      </c>
      <c r="X6" s="494">
        <f t="shared" si="0"/>
        <v>10.289999999999997</v>
      </c>
      <c r="Y6" s="495">
        <f t="shared" si="0"/>
        <v>10.299999999999997</v>
      </c>
      <c r="Z6" s="495">
        <f t="shared" si="0"/>
        <v>10.309999999999997</v>
      </c>
      <c r="AA6" s="495">
        <f t="shared" si="0"/>
        <v>10.319999999999997</v>
      </c>
      <c r="AB6" s="1330">
        <f t="shared" si="0"/>
        <v>10.329999999999997</v>
      </c>
      <c r="AC6" s="495">
        <f>AB6+0.01</f>
        <v>10.339999999999996</v>
      </c>
      <c r="AD6" s="3354" t="s">
        <v>1446</v>
      </c>
      <c r="AE6" s="494">
        <f>AC6+0.01</f>
        <v>10.349999999999996</v>
      </c>
      <c r="AF6" s="494">
        <f>AE6+0.01</f>
        <v>10.359999999999996</v>
      </c>
      <c r="AG6" s="494">
        <f t="shared" ref="AG6:AL6" si="1">AF6+0.01</f>
        <v>10.369999999999996</v>
      </c>
      <c r="AH6" s="494">
        <f t="shared" si="1"/>
        <v>10.379999999999995</v>
      </c>
      <c r="AI6" s="494">
        <f t="shared" si="1"/>
        <v>10.389999999999995</v>
      </c>
      <c r="AJ6" s="494">
        <f t="shared" si="1"/>
        <v>10.399999999999995</v>
      </c>
      <c r="AK6" s="494">
        <f t="shared" si="1"/>
        <v>10.409999999999995</v>
      </c>
      <c r="AL6" s="494">
        <f t="shared" si="1"/>
        <v>10.419999999999995</v>
      </c>
      <c r="AM6" s="2499">
        <f>AL6+0.01</f>
        <v>10.429999999999994</v>
      </c>
      <c r="AN6" s="494">
        <f>AM6+0.01</f>
        <v>10.439999999999994</v>
      </c>
      <c r="AO6" s="3354" t="s">
        <v>1446</v>
      </c>
      <c r="AP6" s="3367">
        <f>AN6+0.01</f>
        <v>10.449999999999994</v>
      </c>
      <c r="AQ6" s="3368"/>
      <c r="AR6" s="3368"/>
      <c r="AS6" s="3368"/>
      <c r="AT6" s="3368"/>
      <c r="AU6" s="3368"/>
      <c r="AV6" s="3368"/>
      <c r="AW6" s="3368"/>
      <c r="AX6" s="3368"/>
      <c r="AY6" s="3368"/>
      <c r="AZ6" s="3368"/>
      <c r="BA6" s="3368"/>
      <c r="BB6" s="3368"/>
      <c r="BC6" s="3368"/>
      <c r="BD6" s="3368"/>
      <c r="BE6" s="3368"/>
      <c r="BF6" s="3368"/>
      <c r="BG6" s="3368"/>
      <c r="BH6" s="3369"/>
      <c r="BI6" s="532">
        <f>AP6+0.01</f>
        <v>10.459999999999994</v>
      </c>
      <c r="BJ6" s="531">
        <f>BI6+0.01</f>
        <v>10.469999999999994</v>
      </c>
      <c r="BK6" s="531">
        <f t="shared" ref="BK6:BR6" si="2">BJ6+0.01</f>
        <v>10.479999999999993</v>
      </c>
      <c r="BL6" s="531">
        <f t="shared" si="2"/>
        <v>10.489999999999993</v>
      </c>
      <c r="BM6" s="3354" t="s">
        <v>1446</v>
      </c>
      <c r="BN6" s="531">
        <f>BL6+0.01</f>
        <v>10.499999999999993</v>
      </c>
      <c r="BO6" s="531">
        <f>BN6+0.01</f>
        <v>10.509999999999993</v>
      </c>
      <c r="BP6" s="531">
        <f t="shared" si="2"/>
        <v>10.519999999999992</v>
      </c>
      <c r="BQ6" s="531">
        <f t="shared" si="2"/>
        <v>10.529999999999992</v>
      </c>
      <c r="BR6" s="531">
        <f t="shared" si="2"/>
        <v>10.539999999999992</v>
      </c>
      <c r="BS6" s="532">
        <f t="shared" ref="BS6:BY6" si="3">BR6+0.01</f>
        <v>10.549999999999992</v>
      </c>
      <c r="BT6" s="532">
        <f t="shared" si="3"/>
        <v>10.559999999999992</v>
      </c>
      <c r="BU6" s="532">
        <f t="shared" si="3"/>
        <v>10.569999999999991</v>
      </c>
      <c r="BV6" s="2106" t="str">
        <f>CONCATENATE(BU6, "a")</f>
        <v>10.57a</v>
      </c>
      <c r="BW6" s="2106" t="str">
        <f>CONCATENATE(BU6, "b")</f>
        <v>10.57b</v>
      </c>
      <c r="BX6" s="532">
        <f>BU6+0.01</f>
        <v>10.579999999999991</v>
      </c>
      <c r="BY6" s="406">
        <f t="shared" si="3"/>
        <v>10.589999999999991</v>
      </c>
      <c r="BZ6" s="3354" t="s">
        <v>1446</v>
      </c>
      <c r="CA6" s="1766">
        <f>BY6+0.01</f>
        <v>10.599999999999991</v>
      </c>
      <c r="CB6" s="3113">
        <f>CA6+0.01</f>
        <v>10.609999999999991</v>
      </c>
      <c r="CC6" s="3202"/>
      <c r="CD6" s="3202"/>
      <c r="CE6" s="3202"/>
      <c r="CF6" s="3202"/>
      <c r="CG6" s="3202"/>
      <c r="CH6" s="3202"/>
      <c r="CI6" s="3202"/>
      <c r="CJ6" s="3202"/>
      <c r="CK6" s="3202"/>
      <c r="CL6" s="3202"/>
      <c r="CM6" s="3202"/>
      <c r="CN6" s="2464"/>
      <c r="CO6" s="537"/>
      <c r="CP6" s="2464"/>
      <c r="CQ6" s="2449"/>
      <c r="CR6" s="3354" t="s">
        <v>1446</v>
      </c>
      <c r="CS6" s="2448">
        <f>CB6+0.01</f>
        <v>10.61999999999999</v>
      </c>
      <c r="CT6" s="2464"/>
      <c r="CU6" s="2464"/>
      <c r="CV6" s="2464"/>
      <c r="CW6" s="2464"/>
      <c r="CX6" s="2464"/>
      <c r="CY6" s="2464"/>
      <c r="CZ6" s="155"/>
      <c r="DA6" s="155"/>
      <c r="DB6" s="155"/>
      <c r="DC6" s="155"/>
      <c r="DD6" s="155"/>
      <c r="DE6" s="155"/>
      <c r="DF6" s="155"/>
      <c r="DG6" s="155"/>
      <c r="DH6" s="156"/>
      <c r="DI6" s="1849" t="str">
        <f>CONCATENATE(CS6, "a")</f>
        <v>10.62a</v>
      </c>
      <c r="DJ6" s="2001" t="str">
        <f>CONCATENATE(CS6, "b")</f>
        <v>10.62b</v>
      </c>
      <c r="DK6" s="2002"/>
      <c r="DL6" s="2002"/>
      <c r="DM6" s="2003"/>
    </row>
    <row r="7" spans="1:117" ht="15" customHeight="1" x14ac:dyDescent="0.25">
      <c r="A7" s="3355"/>
      <c r="B7" s="3365" t="s">
        <v>1447</v>
      </c>
      <c r="C7" s="3365" t="s">
        <v>1448</v>
      </c>
      <c r="D7" s="3361" t="s">
        <v>1449</v>
      </c>
      <c r="E7" s="3362"/>
      <c r="F7" s="3361" t="s">
        <v>1450</v>
      </c>
      <c r="G7" s="3362"/>
      <c r="H7" s="3365" t="s">
        <v>1451</v>
      </c>
      <c r="I7" s="3361" t="s">
        <v>1452</v>
      </c>
      <c r="J7" s="3362"/>
      <c r="K7" s="3361" t="s">
        <v>1453</v>
      </c>
      <c r="L7" s="3362"/>
      <c r="M7" s="3364" t="s">
        <v>1454</v>
      </c>
      <c r="N7" s="3365" t="s">
        <v>1455</v>
      </c>
      <c r="O7" s="3365" t="s">
        <v>1456</v>
      </c>
      <c r="P7" s="3359"/>
      <c r="Q7" s="3361" t="s">
        <v>1457</v>
      </c>
      <c r="R7" s="3362"/>
      <c r="S7" s="3365" t="s">
        <v>1458</v>
      </c>
      <c r="T7" s="3365" t="s">
        <v>1459</v>
      </c>
      <c r="U7" s="3365" t="s">
        <v>1460</v>
      </c>
      <c r="V7" s="3365" t="s">
        <v>1461</v>
      </c>
      <c r="W7" s="3365" t="s">
        <v>1462</v>
      </c>
      <c r="X7" s="3365" t="s">
        <v>1463</v>
      </c>
      <c r="Y7" s="3365" t="s">
        <v>1464</v>
      </c>
      <c r="Z7" s="3365" t="s">
        <v>1465</v>
      </c>
      <c r="AA7" s="3365" t="s">
        <v>1466</v>
      </c>
      <c r="AB7" s="3362" t="s">
        <v>1467</v>
      </c>
      <c r="AC7" s="3365" t="s">
        <v>1468</v>
      </c>
      <c r="AD7" s="3355"/>
      <c r="AE7" s="3365" t="s">
        <v>1469</v>
      </c>
      <c r="AF7" s="3365" t="s">
        <v>1470</v>
      </c>
      <c r="AG7" s="3365" t="s">
        <v>1471</v>
      </c>
      <c r="AH7" s="3365" t="s">
        <v>1472</v>
      </c>
      <c r="AI7" s="3365" t="s">
        <v>1473</v>
      </c>
      <c r="AJ7" s="3365" t="s">
        <v>1474</v>
      </c>
      <c r="AK7" s="3365" t="s">
        <v>1475</v>
      </c>
      <c r="AL7" s="3365" t="s">
        <v>1476</v>
      </c>
      <c r="AM7" s="3365" t="s">
        <v>1477</v>
      </c>
      <c r="AN7" s="3365" t="s">
        <v>1478</v>
      </c>
      <c r="AO7" s="3355"/>
      <c r="AP7" s="3361" t="s">
        <v>1479</v>
      </c>
      <c r="AQ7" s="3364"/>
      <c r="AR7" s="3364"/>
      <c r="AS7" s="3364"/>
      <c r="AT7" s="3364"/>
      <c r="AU7" s="3364"/>
      <c r="AV7" s="3364"/>
      <c r="AW7" s="3364"/>
      <c r="AX7" s="3364"/>
      <c r="AY7" s="3364"/>
      <c r="AZ7" s="3364"/>
      <c r="BA7" s="3364"/>
      <c r="BB7" s="3364"/>
      <c r="BC7" s="3364"/>
      <c r="BD7" s="3364"/>
      <c r="BE7" s="3364"/>
      <c r="BF7" s="3364"/>
      <c r="BG7" s="3364"/>
      <c r="BH7" s="3362"/>
      <c r="BI7" s="2782" t="s">
        <v>1480</v>
      </c>
      <c r="BJ7" s="2782" t="s">
        <v>1481</v>
      </c>
      <c r="BK7" s="2782" t="s">
        <v>1482</v>
      </c>
      <c r="BL7" s="2782" t="s">
        <v>1483</v>
      </c>
      <c r="BM7" s="3355"/>
      <c r="BN7" s="2782" t="s">
        <v>1484</v>
      </c>
      <c r="BO7" s="2782" t="s">
        <v>1485</v>
      </c>
      <c r="BP7" s="2782" t="s">
        <v>1486</v>
      </c>
      <c r="BQ7" s="2782" t="s">
        <v>1487</v>
      </c>
      <c r="BR7" s="2782" t="s">
        <v>1488</v>
      </c>
      <c r="BS7" s="2782" t="s">
        <v>1489</v>
      </c>
      <c r="BT7" s="2782" t="s">
        <v>1490</v>
      </c>
      <c r="BU7" s="2782" t="s">
        <v>1491</v>
      </c>
      <c r="BV7" s="2808" t="s">
        <v>1492</v>
      </c>
      <c r="BW7" s="2808" t="s">
        <v>1493</v>
      </c>
      <c r="BX7" s="2898" t="s">
        <v>1494</v>
      </c>
      <c r="BY7" s="2898" t="s">
        <v>1495</v>
      </c>
      <c r="BZ7" s="3355"/>
      <c r="CA7" s="3268" t="s">
        <v>1496</v>
      </c>
      <c r="CB7" s="244" t="s">
        <v>1497</v>
      </c>
      <c r="CC7" s="241"/>
      <c r="CD7" s="241"/>
      <c r="CE7" s="241"/>
      <c r="CF7" s="241"/>
      <c r="CG7" s="241"/>
      <c r="CH7" s="241"/>
      <c r="CI7" s="241"/>
      <c r="CJ7" s="241"/>
      <c r="CK7" s="241"/>
      <c r="CL7" s="241"/>
      <c r="CM7" s="241"/>
      <c r="CN7" s="340"/>
      <c r="CO7" s="340"/>
      <c r="CP7" s="340"/>
      <c r="CQ7" s="2404"/>
      <c r="CR7" s="3355"/>
      <c r="CS7" s="2825" t="s">
        <v>1498</v>
      </c>
      <c r="CT7" s="2826"/>
      <c r="CU7" s="2826"/>
      <c r="CV7" s="2826"/>
      <c r="CW7" s="2826"/>
      <c r="CX7" s="2826"/>
      <c r="CY7" s="2826"/>
      <c r="CZ7" s="2826"/>
      <c r="DA7" s="2826"/>
      <c r="DB7" s="2826"/>
      <c r="DC7" s="2826"/>
      <c r="DD7" s="2826"/>
      <c r="DE7" s="2826"/>
      <c r="DF7" s="2826"/>
      <c r="DG7" s="2826"/>
      <c r="DH7" s="2827"/>
      <c r="DI7" s="3441" t="s">
        <v>1499</v>
      </c>
      <c r="DJ7" s="3432" t="s">
        <v>1500</v>
      </c>
      <c r="DK7" s="3433"/>
      <c r="DL7" s="3433"/>
      <c r="DM7" s="3434"/>
    </row>
    <row r="8" spans="1:117" x14ac:dyDescent="0.25">
      <c r="A8" s="3355"/>
      <c r="B8" s="3365"/>
      <c r="C8" s="3365"/>
      <c r="D8" s="3361"/>
      <c r="E8" s="3362"/>
      <c r="F8" s="3361"/>
      <c r="G8" s="3362"/>
      <c r="H8" s="3365"/>
      <c r="I8" s="3361"/>
      <c r="J8" s="3362"/>
      <c r="K8" s="3361"/>
      <c r="L8" s="3362"/>
      <c r="M8" s="3364"/>
      <c r="N8" s="3365"/>
      <c r="O8" s="3365"/>
      <c r="P8" s="3359"/>
      <c r="Q8" s="3361"/>
      <c r="R8" s="3362"/>
      <c r="S8" s="3365"/>
      <c r="T8" s="3365"/>
      <c r="U8" s="3365"/>
      <c r="V8" s="3365"/>
      <c r="W8" s="3365"/>
      <c r="X8" s="3365"/>
      <c r="Y8" s="3365"/>
      <c r="Z8" s="3365"/>
      <c r="AA8" s="3365"/>
      <c r="AB8" s="3362"/>
      <c r="AC8" s="3365"/>
      <c r="AD8" s="3355"/>
      <c r="AE8" s="3365"/>
      <c r="AF8" s="3365"/>
      <c r="AG8" s="3365"/>
      <c r="AH8" s="3365"/>
      <c r="AI8" s="3365"/>
      <c r="AJ8" s="3365"/>
      <c r="AK8" s="3365"/>
      <c r="AL8" s="3365"/>
      <c r="AM8" s="3365"/>
      <c r="AN8" s="3365"/>
      <c r="AO8" s="3355"/>
      <c r="AP8" s="3361"/>
      <c r="AQ8" s="3364"/>
      <c r="AR8" s="3364"/>
      <c r="AS8" s="3364"/>
      <c r="AT8" s="3364"/>
      <c r="AU8" s="3364"/>
      <c r="AV8" s="3364"/>
      <c r="AW8" s="3364"/>
      <c r="AX8" s="3364"/>
      <c r="AY8" s="3364"/>
      <c r="AZ8" s="3364"/>
      <c r="BA8" s="3364"/>
      <c r="BB8" s="3364"/>
      <c r="BC8" s="3364"/>
      <c r="BD8" s="3364"/>
      <c r="BE8" s="3364"/>
      <c r="BF8" s="3364"/>
      <c r="BG8" s="3364"/>
      <c r="BH8" s="3362"/>
      <c r="BI8" s="2782"/>
      <c r="BJ8" s="2782"/>
      <c r="BK8" s="2782"/>
      <c r="BL8" s="2782"/>
      <c r="BM8" s="3355"/>
      <c r="BN8" s="2782"/>
      <c r="BO8" s="2782"/>
      <c r="BP8" s="2782"/>
      <c r="BQ8" s="2782"/>
      <c r="BR8" s="2782"/>
      <c r="BS8" s="2782"/>
      <c r="BT8" s="2782"/>
      <c r="BU8" s="2782"/>
      <c r="BV8" s="2808"/>
      <c r="BW8" s="2808"/>
      <c r="BX8" s="2898"/>
      <c r="BY8" s="2898"/>
      <c r="BZ8" s="3355"/>
      <c r="CA8" s="3268"/>
      <c r="CB8" s="244" t="s">
        <v>1501</v>
      </c>
      <c r="CC8" s="241"/>
      <c r="CD8" s="241"/>
      <c r="CE8" s="241"/>
      <c r="CF8" s="241"/>
      <c r="CG8" s="241"/>
      <c r="CH8" s="241"/>
      <c r="CI8" s="241"/>
      <c r="CJ8" s="241"/>
      <c r="CK8" s="241"/>
      <c r="CL8" s="241"/>
      <c r="CM8" s="241"/>
      <c r="CN8" s="340"/>
      <c r="CO8" s="340"/>
      <c r="CP8" s="340"/>
      <c r="CQ8" s="2404"/>
      <c r="CR8" s="3355"/>
      <c r="CS8" s="2419"/>
      <c r="CT8" s="340"/>
      <c r="CU8" s="340"/>
      <c r="CV8" s="340"/>
      <c r="CW8" s="241"/>
      <c r="CX8" s="241"/>
      <c r="CY8" s="241"/>
      <c r="CZ8" s="241"/>
      <c r="DA8" s="241"/>
      <c r="DB8" s="241"/>
      <c r="DC8" s="241"/>
      <c r="DD8" s="241"/>
      <c r="DE8" s="241"/>
      <c r="DF8" s="241"/>
      <c r="DG8" s="241"/>
      <c r="DH8" s="538"/>
      <c r="DI8" s="3441"/>
      <c r="DJ8" s="3435"/>
      <c r="DK8" s="3436"/>
      <c r="DL8" s="3436"/>
      <c r="DM8" s="3437"/>
    </row>
    <row r="9" spans="1:117" ht="13.5" customHeight="1" x14ac:dyDescent="0.25">
      <c r="A9" s="3355"/>
      <c r="B9" s="3365"/>
      <c r="C9" s="3365"/>
      <c r="D9" s="3361"/>
      <c r="E9" s="3362"/>
      <c r="F9" s="3361"/>
      <c r="G9" s="3362"/>
      <c r="H9" s="3365"/>
      <c r="I9" s="3361"/>
      <c r="J9" s="3362"/>
      <c r="K9" s="3361"/>
      <c r="L9" s="3362"/>
      <c r="M9" s="3364"/>
      <c r="N9" s="3365"/>
      <c r="O9" s="3365"/>
      <c r="P9" s="3359"/>
      <c r="Q9" s="3361"/>
      <c r="R9" s="3362"/>
      <c r="S9" s="3365"/>
      <c r="T9" s="3365"/>
      <c r="U9" s="3365"/>
      <c r="V9" s="3365"/>
      <c r="W9" s="3365"/>
      <c r="X9" s="3365"/>
      <c r="Y9" s="3365"/>
      <c r="Z9" s="3365"/>
      <c r="AA9" s="3365"/>
      <c r="AB9" s="3362"/>
      <c r="AC9" s="3365"/>
      <c r="AD9" s="3355"/>
      <c r="AE9" s="3365"/>
      <c r="AF9" s="3365"/>
      <c r="AG9" s="3365"/>
      <c r="AH9" s="3365"/>
      <c r="AI9" s="3365"/>
      <c r="AJ9" s="3365"/>
      <c r="AK9" s="3365"/>
      <c r="AL9" s="3365"/>
      <c r="AM9" s="3365"/>
      <c r="AN9" s="3365"/>
      <c r="AO9" s="3355"/>
      <c r="AP9" s="3361"/>
      <c r="AQ9" s="3364"/>
      <c r="AR9" s="3364"/>
      <c r="AS9" s="3364"/>
      <c r="AT9" s="3364"/>
      <c r="AU9" s="3364"/>
      <c r="AV9" s="3364"/>
      <c r="AW9" s="3364"/>
      <c r="AX9" s="3364"/>
      <c r="AY9" s="3364"/>
      <c r="AZ9" s="3364"/>
      <c r="BA9" s="3364"/>
      <c r="BB9" s="3364"/>
      <c r="BC9" s="3364"/>
      <c r="BD9" s="3364"/>
      <c r="BE9" s="3364"/>
      <c r="BF9" s="3364"/>
      <c r="BG9" s="3364"/>
      <c r="BH9" s="3362"/>
      <c r="BI9" s="2782"/>
      <c r="BJ9" s="2782"/>
      <c r="BK9" s="2782"/>
      <c r="BL9" s="2782"/>
      <c r="BM9" s="3355"/>
      <c r="BN9" s="2782"/>
      <c r="BO9" s="2782"/>
      <c r="BP9" s="2782"/>
      <c r="BQ9" s="2782"/>
      <c r="BR9" s="2782"/>
      <c r="BS9" s="2782"/>
      <c r="BT9" s="2782"/>
      <c r="BU9" s="2782"/>
      <c r="BV9" s="2808"/>
      <c r="BW9" s="2808"/>
      <c r="BX9" s="2898"/>
      <c r="BY9" s="2898"/>
      <c r="BZ9" s="3355"/>
      <c r="CA9" s="3268"/>
      <c r="CB9" s="244" t="s">
        <v>1502</v>
      </c>
      <c r="CC9" s="241"/>
      <c r="CD9" s="241"/>
      <c r="CE9" s="241"/>
      <c r="CF9" s="241"/>
      <c r="CG9" s="241"/>
      <c r="CH9" s="241"/>
      <c r="CI9" s="241"/>
      <c r="CJ9" s="241"/>
      <c r="CK9" s="241"/>
      <c r="CL9" s="241"/>
      <c r="CM9" s="241"/>
      <c r="CN9" s="340"/>
      <c r="CO9" s="340"/>
      <c r="CP9" s="340"/>
      <c r="CQ9" s="2404"/>
      <c r="CR9" s="3355"/>
      <c r="CS9" s="2419"/>
      <c r="CT9" s="340"/>
      <c r="CU9" s="340"/>
      <c r="CV9" s="340"/>
      <c r="CW9" s="241"/>
      <c r="CX9" s="241"/>
      <c r="CY9" s="241"/>
      <c r="CZ9" s="241"/>
      <c r="DA9" s="241"/>
      <c r="DB9" s="241"/>
      <c r="DC9" s="241"/>
      <c r="DD9" s="241"/>
      <c r="DE9" s="241"/>
      <c r="DF9" s="241"/>
      <c r="DG9" s="241"/>
      <c r="DH9" s="538"/>
      <c r="DI9" s="3441"/>
      <c r="DJ9" s="2004" t="s">
        <v>74</v>
      </c>
      <c r="DK9" s="1852" t="s">
        <v>109</v>
      </c>
      <c r="DL9" s="1852" t="s">
        <v>131</v>
      </c>
      <c r="DM9" s="2005" t="s">
        <v>238</v>
      </c>
    </row>
    <row r="10" spans="1:117" ht="13.5" customHeight="1" x14ac:dyDescent="0.25">
      <c r="A10" s="3355"/>
      <c r="B10" s="3365"/>
      <c r="C10" s="3365"/>
      <c r="D10" s="3361"/>
      <c r="E10" s="3362"/>
      <c r="F10" s="3361"/>
      <c r="G10" s="3362"/>
      <c r="H10" s="3365"/>
      <c r="I10" s="3361"/>
      <c r="J10" s="3362"/>
      <c r="K10" s="3361"/>
      <c r="L10" s="3362"/>
      <c r="M10" s="3364"/>
      <c r="N10" s="3365"/>
      <c r="O10" s="3365"/>
      <c r="P10" s="3359"/>
      <c r="S10" s="3365"/>
      <c r="T10" s="3365"/>
      <c r="U10" s="3365"/>
      <c r="V10" s="3365"/>
      <c r="W10" s="3365"/>
      <c r="X10" s="3365"/>
      <c r="Y10" s="3365"/>
      <c r="Z10" s="3365"/>
      <c r="AA10" s="3365"/>
      <c r="AB10" s="3362"/>
      <c r="AC10" s="3365"/>
      <c r="AD10" s="3355"/>
      <c r="AE10" s="3365"/>
      <c r="AF10" s="3365"/>
      <c r="AG10" s="3365"/>
      <c r="AH10" s="3365"/>
      <c r="AI10" s="3365"/>
      <c r="AJ10" s="3365"/>
      <c r="AK10" s="3365"/>
      <c r="AL10" s="3365"/>
      <c r="AM10" s="3365"/>
      <c r="AN10" s="3365"/>
      <c r="AO10" s="3355"/>
      <c r="AP10" s="588"/>
      <c r="AQ10" s="589"/>
      <c r="AR10" s="2209"/>
      <c r="AS10" s="2209"/>
      <c r="AT10" s="589"/>
      <c r="AU10" s="589"/>
      <c r="AV10" s="589"/>
      <c r="AW10" s="589"/>
      <c r="AX10" s="589"/>
      <c r="AY10" s="589"/>
      <c r="AZ10" s="589"/>
      <c r="BA10" s="589"/>
      <c r="BB10" s="589"/>
      <c r="BC10" s="589"/>
      <c r="BD10" s="589"/>
      <c r="BE10" s="589"/>
      <c r="BF10" s="589"/>
      <c r="BG10" s="589"/>
      <c r="BH10" s="590"/>
      <c r="BI10" s="2782"/>
      <c r="BJ10" s="2782"/>
      <c r="BK10" s="2782"/>
      <c r="BL10" s="2782"/>
      <c r="BM10" s="3355"/>
      <c r="BN10" s="2782"/>
      <c r="BO10" s="2782"/>
      <c r="BP10" s="2782"/>
      <c r="BQ10" s="2782"/>
      <c r="BR10" s="2782"/>
      <c r="BS10" s="2782"/>
      <c r="BT10" s="2782"/>
      <c r="BU10" s="2782"/>
      <c r="BV10" s="2808"/>
      <c r="BW10" s="2808"/>
      <c r="BX10" s="2898"/>
      <c r="BY10" s="2898"/>
      <c r="BZ10" s="3355"/>
      <c r="CA10" s="3268"/>
      <c r="CB10" s="244" t="s">
        <v>1503</v>
      </c>
      <c r="CC10" s="241"/>
      <c r="CD10" s="241"/>
      <c r="CE10" s="241"/>
      <c r="CF10" s="241"/>
      <c r="CG10" s="241"/>
      <c r="CH10" s="241"/>
      <c r="CI10" s="241"/>
      <c r="CJ10" s="241"/>
      <c r="CK10" s="241"/>
      <c r="CL10" s="241"/>
      <c r="CM10" s="241"/>
      <c r="CN10" s="340"/>
      <c r="CO10" s="340"/>
      <c r="CP10" s="340"/>
      <c r="CQ10" s="2404"/>
      <c r="CR10" s="3355"/>
      <c r="CS10" s="244" t="s">
        <v>1504</v>
      </c>
      <c r="CT10" s="241"/>
      <c r="CU10" s="241"/>
      <c r="CV10" s="241"/>
      <c r="CW10" s="241"/>
      <c r="CX10" s="241"/>
      <c r="CY10" s="241"/>
      <c r="CZ10" s="241"/>
      <c r="DA10" s="241"/>
      <c r="DB10" s="241"/>
      <c r="DC10" s="241"/>
      <c r="DD10" s="241"/>
      <c r="DE10" s="241"/>
      <c r="DF10" s="241"/>
      <c r="DG10" s="241"/>
      <c r="DH10" s="538"/>
      <c r="DI10" s="3441"/>
      <c r="DJ10" s="3426" t="s">
        <v>1505</v>
      </c>
      <c r="DK10" s="3428" t="s">
        <v>1506</v>
      </c>
      <c r="DL10" s="3428" t="s">
        <v>1507</v>
      </c>
      <c r="DM10" s="3430" t="s">
        <v>1508</v>
      </c>
    </row>
    <row r="11" spans="1:117" ht="13.5" customHeight="1" x14ac:dyDescent="0.25">
      <c r="A11" s="3355"/>
      <c r="B11" s="3365"/>
      <c r="C11" s="3365"/>
      <c r="D11" s="3361"/>
      <c r="E11" s="3362"/>
      <c r="F11" s="3361"/>
      <c r="G11" s="3362"/>
      <c r="H11" s="3365"/>
      <c r="I11" s="3361"/>
      <c r="J11" s="3362"/>
      <c r="K11" s="3361"/>
      <c r="L11" s="3362"/>
      <c r="M11" s="3364"/>
      <c r="N11" s="3365"/>
      <c r="O11" s="3365"/>
      <c r="P11" s="3359"/>
      <c r="S11" s="3365"/>
      <c r="T11" s="3365"/>
      <c r="U11" s="3365"/>
      <c r="V11" s="3365"/>
      <c r="W11" s="3365"/>
      <c r="X11" s="3365"/>
      <c r="Y11" s="3365"/>
      <c r="Z11" s="3365"/>
      <c r="AA11" s="3365"/>
      <c r="AB11" s="3362"/>
      <c r="AC11" s="2490" t="s">
        <v>1509</v>
      </c>
      <c r="AD11" s="3355"/>
      <c r="AE11" s="3365"/>
      <c r="AF11" s="3365"/>
      <c r="AG11" s="3365"/>
      <c r="AH11" s="3365"/>
      <c r="AI11" s="3365"/>
      <c r="AJ11" s="3365"/>
      <c r="AK11" s="3365"/>
      <c r="AL11" s="3365"/>
      <c r="AM11" s="3365"/>
      <c r="AN11" s="501"/>
      <c r="AO11" s="3355"/>
      <c r="AP11" s="3378" t="s">
        <v>1510</v>
      </c>
      <c r="AQ11" s="3375" t="s">
        <v>1511</v>
      </c>
      <c r="AR11" s="3387" t="s">
        <v>1512</v>
      </c>
      <c r="AS11" s="3387" t="s">
        <v>1443</v>
      </c>
      <c r="AT11" s="3372" t="s">
        <v>1513</v>
      </c>
      <c r="AU11" s="3372" t="s">
        <v>1514</v>
      </c>
      <c r="AV11" s="3372" t="s">
        <v>1515</v>
      </c>
      <c r="AW11" s="3372" t="s">
        <v>1516</v>
      </c>
      <c r="AX11" s="3372" t="s">
        <v>1517</v>
      </c>
      <c r="AY11" s="3372" t="s">
        <v>1518</v>
      </c>
      <c r="AZ11" s="3372" t="s">
        <v>1519</v>
      </c>
      <c r="BA11" s="3375" t="s">
        <v>1520</v>
      </c>
      <c r="BB11" s="3372" t="s">
        <v>1521</v>
      </c>
      <c r="BC11" s="3372" t="s">
        <v>1522</v>
      </c>
      <c r="BD11" s="3378" t="s">
        <v>1523</v>
      </c>
      <c r="BE11" s="3372" t="s">
        <v>1524</v>
      </c>
      <c r="BF11" s="3372" t="s">
        <v>1525</v>
      </c>
      <c r="BG11" s="3375" t="s">
        <v>1526</v>
      </c>
      <c r="BH11" s="3372" t="s">
        <v>1527</v>
      </c>
      <c r="BI11" s="2782"/>
      <c r="BJ11" s="2782"/>
      <c r="BK11" s="2782"/>
      <c r="BL11" s="2782"/>
      <c r="BM11" s="3355"/>
      <c r="BN11" s="2782"/>
      <c r="BO11" s="2782"/>
      <c r="BP11" s="2782"/>
      <c r="BQ11" s="2782"/>
      <c r="BR11" s="2782"/>
      <c r="BS11" s="2782"/>
      <c r="BT11" s="2782"/>
      <c r="BU11" s="2782"/>
      <c r="BV11" s="2808"/>
      <c r="BW11" s="2808"/>
      <c r="BX11" s="2898"/>
      <c r="BY11" s="2898"/>
      <c r="BZ11" s="3355"/>
      <c r="CA11" s="3268" t="s">
        <v>1528</v>
      </c>
      <c r="CB11" s="244"/>
      <c r="CC11" s="241"/>
      <c r="CD11" s="241"/>
      <c r="CE11" s="241"/>
      <c r="CF11" s="241"/>
      <c r="CG11" s="241"/>
      <c r="CH11" s="241"/>
      <c r="CI11" s="241"/>
      <c r="CJ11" s="241"/>
      <c r="CK11" s="241"/>
      <c r="CL11" s="241"/>
      <c r="CM11" s="241"/>
      <c r="CN11" s="241"/>
      <c r="CO11" s="241"/>
      <c r="CP11" s="2352"/>
      <c r="CQ11" s="2353"/>
      <c r="CR11" s="3355"/>
      <c r="CS11" s="244"/>
      <c r="CT11" s="241"/>
      <c r="CU11" s="241"/>
      <c r="CV11" s="241"/>
      <c r="CW11" s="241"/>
      <c r="CX11" s="241"/>
      <c r="CY11" s="241"/>
      <c r="CZ11" s="241"/>
      <c r="DA11" s="241"/>
      <c r="DB11" s="241"/>
      <c r="DC11" s="241"/>
      <c r="DD11" s="241"/>
      <c r="DE11" s="241"/>
      <c r="DF11" s="241"/>
      <c r="DG11" s="241"/>
      <c r="DH11" s="538"/>
      <c r="DI11" s="3441"/>
      <c r="DJ11" s="3426"/>
      <c r="DK11" s="3428"/>
      <c r="DL11" s="3428"/>
      <c r="DM11" s="3430"/>
    </row>
    <row r="12" spans="1:117" ht="15" customHeight="1" x14ac:dyDescent="0.25">
      <c r="A12" s="3355"/>
      <c r="B12" s="3365"/>
      <c r="C12" s="3365"/>
      <c r="D12" s="3361"/>
      <c r="E12" s="3362"/>
      <c r="F12" s="497"/>
      <c r="G12" s="498"/>
      <c r="H12" s="3365"/>
      <c r="I12" s="3361"/>
      <c r="J12" s="3362"/>
      <c r="K12" s="3361"/>
      <c r="L12" s="3362"/>
      <c r="M12" s="3364"/>
      <c r="N12" s="3365"/>
      <c r="O12" s="499" t="s">
        <v>1529</v>
      </c>
      <c r="P12" s="3359"/>
      <c r="Q12" s="3361" t="s">
        <v>1530</v>
      </c>
      <c r="R12" s="3362"/>
      <c r="S12" s="2490"/>
      <c r="T12" s="3365"/>
      <c r="U12" s="3365"/>
      <c r="V12" s="3365"/>
      <c r="W12" s="3365"/>
      <c r="X12" s="3365"/>
      <c r="Y12" s="3365"/>
      <c r="Z12" s="3365"/>
      <c r="AA12" s="3365"/>
      <c r="AB12" s="3362"/>
      <c r="AC12" s="2490" t="s">
        <v>1531</v>
      </c>
      <c r="AD12" s="3355"/>
      <c r="AE12" s="3365"/>
      <c r="AF12" s="3365"/>
      <c r="AG12" s="3365"/>
      <c r="AH12" s="3365"/>
      <c r="AI12" s="3365"/>
      <c r="AJ12" s="3365"/>
      <c r="AK12" s="3365"/>
      <c r="AL12" s="3365"/>
      <c r="AN12" s="501"/>
      <c r="AO12" s="3355"/>
      <c r="AP12" s="3379"/>
      <c r="AQ12" s="3376"/>
      <c r="AR12" s="3388"/>
      <c r="AS12" s="3388"/>
      <c r="AT12" s="3373"/>
      <c r="AU12" s="3373"/>
      <c r="AV12" s="3373"/>
      <c r="AW12" s="3373"/>
      <c r="AX12" s="3373"/>
      <c r="AY12" s="3373"/>
      <c r="AZ12" s="3373"/>
      <c r="BA12" s="3376"/>
      <c r="BB12" s="3373"/>
      <c r="BC12" s="3373"/>
      <c r="BD12" s="3379"/>
      <c r="BE12" s="3373"/>
      <c r="BF12" s="3373"/>
      <c r="BG12" s="3376"/>
      <c r="BH12" s="3373"/>
      <c r="BI12" s="2782"/>
      <c r="BJ12" s="2782"/>
      <c r="BK12" s="2782"/>
      <c r="BL12" s="2782"/>
      <c r="BM12" s="3355"/>
      <c r="BN12" s="2782"/>
      <c r="BO12" s="2782"/>
      <c r="BP12" s="2782"/>
      <c r="BQ12" s="2782"/>
      <c r="BR12" s="2782"/>
      <c r="BS12" s="2782"/>
      <c r="BT12" s="2782"/>
      <c r="BU12" s="2782"/>
      <c r="BV12" s="2808"/>
      <c r="BW12" s="2808"/>
      <c r="BX12" s="2898"/>
      <c r="BY12" s="2898"/>
      <c r="BZ12" s="3355"/>
      <c r="CA12" s="3268"/>
      <c r="CB12" s="244" t="s">
        <v>1532</v>
      </c>
      <c r="CC12" s="241"/>
      <c r="CD12" s="241"/>
      <c r="CE12" s="241"/>
      <c r="CF12" s="241"/>
      <c r="CG12" s="241"/>
      <c r="CH12" s="241"/>
      <c r="CI12" s="241"/>
      <c r="CJ12" s="241"/>
      <c r="CK12" s="241"/>
      <c r="CL12" s="241"/>
      <c r="CM12" s="241"/>
      <c r="CN12" s="241"/>
      <c r="CO12" s="241"/>
      <c r="CP12" s="340"/>
      <c r="CQ12" s="2404"/>
      <c r="CR12" s="3355"/>
      <c r="CS12" s="244" t="s">
        <v>1533</v>
      </c>
      <c r="CT12" s="241"/>
      <c r="CU12" s="241"/>
      <c r="CV12" s="241"/>
      <c r="CW12" s="241"/>
      <c r="CX12" s="241"/>
      <c r="CY12" s="241"/>
      <c r="CZ12" s="241"/>
      <c r="DA12" s="241"/>
      <c r="DB12" s="241"/>
      <c r="DC12" s="241"/>
      <c r="DD12" s="241"/>
      <c r="DE12" s="241"/>
      <c r="DF12" s="241"/>
      <c r="DG12" s="241"/>
      <c r="DH12" s="538"/>
      <c r="DI12" s="3441"/>
      <c r="DJ12" s="3426"/>
      <c r="DK12" s="3428"/>
      <c r="DL12" s="3428"/>
      <c r="DM12" s="3430"/>
    </row>
    <row r="13" spans="1:117" ht="13.5" customHeight="1" x14ac:dyDescent="0.25">
      <c r="A13" s="3355"/>
      <c r="B13" s="3365"/>
      <c r="C13" s="3365"/>
      <c r="D13" s="3328"/>
      <c r="E13" s="3363"/>
      <c r="F13" s="497"/>
      <c r="G13" s="498"/>
      <c r="H13" s="496"/>
      <c r="I13" s="3361"/>
      <c r="J13" s="3362"/>
      <c r="K13" s="3328"/>
      <c r="L13" s="3363"/>
      <c r="M13" s="3364"/>
      <c r="N13" s="3365"/>
      <c r="O13" s="499" t="s">
        <v>1534</v>
      </c>
      <c r="P13" s="3359"/>
      <c r="Q13" s="3361"/>
      <c r="R13" s="3362"/>
      <c r="S13" s="2782"/>
      <c r="T13" s="3365"/>
      <c r="U13" s="499"/>
      <c r="V13" s="2490"/>
      <c r="W13" s="3365"/>
      <c r="X13" s="3365"/>
      <c r="Y13" s="3365"/>
      <c r="Z13" s="3365"/>
      <c r="AA13" s="3365"/>
      <c r="AB13" s="496"/>
      <c r="AC13" s="499" t="s">
        <v>1535</v>
      </c>
      <c r="AD13" s="3355"/>
      <c r="AE13" s="3365"/>
      <c r="AF13" s="3365"/>
      <c r="AG13" s="3365"/>
      <c r="AH13" s="3365"/>
      <c r="AI13" s="3365"/>
      <c r="AJ13" s="499" t="s">
        <v>1536</v>
      </c>
      <c r="AK13" s="3365"/>
      <c r="AL13" s="499"/>
      <c r="AM13" s="583" t="s">
        <v>1537</v>
      </c>
      <c r="AN13" s="584" t="s">
        <v>1537</v>
      </c>
      <c r="AO13" s="3355"/>
      <c r="AP13" s="3379"/>
      <c r="AQ13" s="3376"/>
      <c r="AR13" s="3388"/>
      <c r="AS13" s="3388"/>
      <c r="AT13" s="3373"/>
      <c r="AU13" s="3373"/>
      <c r="AV13" s="3373"/>
      <c r="AW13" s="3373"/>
      <c r="AX13" s="3373"/>
      <c r="AY13" s="3373"/>
      <c r="AZ13" s="3373"/>
      <c r="BA13" s="3376"/>
      <c r="BB13" s="3373"/>
      <c r="BC13" s="3373"/>
      <c r="BD13" s="3379"/>
      <c r="BE13" s="3373"/>
      <c r="BF13" s="3373"/>
      <c r="BG13" s="3376"/>
      <c r="BH13" s="3373"/>
      <c r="BI13" s="2782"/>
      <c r="BJ13" s="2782"/>
      <c r="BK13" s="2782"/>
      <c r="BL13" s="2782"/>
      <c r="BM13" s="3355"/>
      <c r="BN13" s="2782"/>
      <c r="BO13" s="2782"/>
      <c r="BP13" s="2782"/>
      <c r="BQ13" s="2782"/>
      <c r="BR13" s="2782"/>
      <c r="BS13" s="2782"/>
      <c r="BT13" s="2782"/>
      <c r="BU13" s="2782"/>
      <c r="BV13" s="2350"/>
      <c r="BW13" s="2350"/>
      <c r="BX13" s="2898"/>
      <c r="BY13" s="2898"/>
      <c r="BZ13" s="3355"/>
      <c r="CA13" s="3268"/>
      <c r="CB13" s="244"/>
      <c r="CC13" s="241"/>
      <c r="CD13" s="241"/>
      <c r="CE13" s="241"/>
      <c r="CF13" s="241"/>
      <c r="CG13" s="241"/>
      <c r="CH13" s="241"/>
      <c r="CI13" s="241"/>
      <c r="CJ13" s="241"/>
      <c r="CK13" s="241"/>
      <c r="CL13" s="241"/>
      <c r="CM13" s="241"/>
      <c r="CN13" s="340"/>
      <c r="CO13" s="340"/>
      <c r="CP13" s="340"/>
      <c r="CQ13" s="2404"/>
      <c r="CR13" s="3355"/>
      <c r="CS13" s="244"/>
      <c r="CT13" s="241"/>
      <c r="CU13" s="241"/>
      <c r="CV13" s="241"/>
      <c r="CW13" s="241"/>
      <c r="CX13" s="241"/>
      <c r="CY13" s="241"/>
      <c r="CZ13" s="241"/>
      <c r="DA13" s="241"/>
      <c r="DB13" s="241"/>
      <c r="DC13" s="241"/>
      <c r="DD13" s="241"/>
      <c r="DE13" s="241"/>
      <c r="DF13" s="241"/>
      <c r="DG13" s="241"/>
      <c r="DH13" s="538"/>
      <c r="DI13" s="3441"/>
      <c r="DJ13" s="3426"/>
      <c r="DK13" s="3428"/>
      <c r="DL13" s="3428"/>
      <c r="DM13" s="3430"/>
    </row>
    <row r="14" spans="1:117" ht="13.5" customHeight="1" x14ac:dyDescent="0.25">
      <c r="A14" s="3355"/>
      <c r="B14" s="3365"/>
      <c r="C14" s="3365"/>
      <c r="D14" s="3328"/>
      <c r="E14" s="3363"/>
      <c r="F14" s="497"/>
      <c r="G14" s="498"/>
      <c r="H14" s="496"/>
      <c r="I14" s="3361"/>
      <c r="J14" s="3362"/>
      <c r="K14" s="3328"/>
      <c r="L14" s="3363"/>
      <c r="M14" s="3364"/>
      <c r="N14" s="3365"/>
      <c r="O14" s="499" t="s">
        <v>1538</v>
      </c>
      <c r="P14" s="3359"/>
      <c r="Q14" s="3417" t="str">
        <f>CONCATENATE("2 Poste fixe voie publique ► (",W6,")")</f>
        <v>2 Poste fixe voie publique ► (10.28)</v>
      </c>
      <c r="R14" s="3418"/>
      <c r="S14" s="2782"/>
      <c r="T14" s="499"/>
      <c r="U14" s="499"/>
      <c r="V14" s="2490"/>
      <c r="W14" s="3365"/>
      <c r="X14" s="499"/>
      <c r="Y14" s="3365"/>
      <c r="Z14" s="3365"/>
      <c r="AA14" s="3365"/>
      <c r="AB14" s="3362" t="s">
        <v>1539</v>
      </c>
      <c r="AC14" s="499" t="s">
        <v>1540</v>
      </c>
      <c r="AD14" s="3355"/>
      <c r="AE14" s="499"/>
      <c r="AF14" s="2490"/>
      <c r="AG14" s="3365"/>
      <c r="AH14" s="2495"/>
      <c r="AI14" s="3365"/>
      <c r="AJ14" s="499"/>
      <c r="AK14" s="3365"/>
      <c r="AL14" s="499"/>
      <c r="AM14" s="583" t="s">
        <v>1541</v>
      </c>
      <c r="AN14" s="584" t="s">
        <v>1541</v>
      </c>
      <c r="AO14" s="3355"/>
      <c r="AP14" s="3379"/>
      <c r="AQ14" s="3376"/>
      <c r="AR14" s="3388"/>
      <c r="AS14" s="3388"/>
      <c r="AT14" s="3373"/>
      <c r="AU14" s="3373"/>
      <c r="AV14" s="3373"/>
      <c r="AW14" s="3373"/>
      <c r="AX14" s="3373"/>
      <c r="AY14" s="3373"/>
      <c r="AZ14" s="3373"/>
      <c r="BA14" s="3376"/>
      <c r="BB14" s="3373"/>
      <c r="BC14" s="3373"/>
      <c r="BD14" s="3379"/>
      <c r="BE14" s="3373"/>
      <c r="BF14" s="3373"/>
      <c r="BG14" s="3376"/>
      <c r="BH14" s="3373"/>
      <c r="BI14" s="2782"/>
      <c r="BJ14" s="2782"/>
      <c r="BK14" s="2782"/>
      <c r="BL14" s="2782"/>
      <c r="BM14" s="3355"/>
      <c r="BN14" s="2782"/>
      <c r="BO14" s="2782"/>
      <c r="BP14" s="2782"/>
      <c r="BQ14" s="2782"/>
      <c r="BR14" s="2782"/>
      <c r="BS14" s="2782"/>
      <c r="BT14" s="2782"/>
      <c r="BU14" s="2782"/>
      <c r="BV14" s="2350"/>
      <c r="BW14" s="2350"/>
      <c r="BX14" s="2898"/>
      <c r="BY14" s="2898"/>
      <c r="BZ14" s="3355"/>
      <c r="CA14" s="3268"/>
      <c r="CB14" s="244" t="s">
        <v>1542</v>
      </c>
      <c r="CC14" s="241"/>
      <c r="CD14" s="241"/>
      <c r="CE14" s="241"/>
      <c r="CF14" s="241"/>
      <c r="CG14" s="241"/>
      <c r="CH14" s="241"/>
      <c r="CI14" s="241"/>
      <c r="CJ14" s="241"/>
      <c r="CK14" s="241"/>
      <c r="CL14" s="241"/>
      <c r="CM14" s="241"/>
      <c r="CN14" s="340"/>
      <c r="CO14" s="340"/>
      <c r="CP14" s="340"/>
      <c r="CQ14" s="2404"/>
      <c r="CR14" s="3355"/>
      <c r="CS14" s="244" t="s">
        <v>1543</v>
      </c>
      <c r="CT14" s="241"/>
      <c r="CU14" s="241"/>
      <c r="CV14" s="241"/>
      <c r="CW14" s="241"/>
      <c r="CX14" s="241"/>
      <c r="CY14" s="241"/>
      <c r="CZ14" s="241"/>
      <c r="DA14" s="241"/>
      <c r="DB14" s="241"/>
      <c r="DC14" s="241"/>
      <c r="DD14" s="241"/>
      <c r="DE14" s="241"/>
      <c r="DF14" s="241"/>
      <c r="DG14" s="241"/>
      <c r="DH14" s="538"/>
      <c r="DI14" s="3441"/>
      <c r="DJ14" s="3426"/>
      <c r="DK14" s="3428"/>
      <c r="DL14" s="3428"/>
      <c r="DM14" s="3430"/>
    </row>
    <row r="15" spans="1:117" ht="27" customHeight="1" x14ac:dyDescent="0.25">
      <c r="A15" s="3355"/>
      <c r="B15" s="3365"/>
      <c r="C15" s="3365"/>
      <c r="D15" s="497"/>
      <c r="E15" s="498"/>
      <c r="F15" s="497"/>
      <c r="G15" s="498"/>
      <c r="H15" s="496"/>
      <c r="I15" s="3361"/>
      <c r="J15" s="3362"/>
      <c r="K15" s="1575"/>
      <c r="L15" s="1576"/>
      <c r="M15" s="3364"/>
      <c r="N15" s="3330"/>
      <c r="O15" s="1335" t="s">
        <v>1544</v>
      </c>
      <c r="P15" s="3359"/>
      <c r="Q15" s="3417"/>
      <c r="R15" s="3418"/>
      <c r="S15" s="2490" t="s">
        <v>1545</v>
      </c>
      <c r="T15" s="500"/>
      <c r="U15" s="501"/>
      <c r="V15" s="501"/>
      <c r="W15" s="501"/>
      <c r="X15" s="501"/>
      <c r="Y15" s="3365"/>
      <c r="Z15" s="3365"/>
      <c r="AA15" s="3365"/>
      <c r="AB15" s="3362"/>
      <c r="AC15" s="1291" t="s">
        <v>1546</v>
      </c>
      <c r="AD15" s="3355"/>
      <c r="AE15" s="501"/>
      <c r="AF15" s="501"/>
      <c r="AG15" s="3365"/>
      <c r="AH15" s="502"/>
      <c r="AI15" s="2490"/>
      <c r="AJ15" s="2490"/>
      <c r="AK15" s="3365"/>
      <c r="AL15" s="2490"/>
      <c r="AM15" s="583" t="s">
        <v>1547</v>
      </c>
      <c r="AN15" s="584" t="s">
        <v>1547</v>
      </c>
      <c r="AO15" s="3355"/>
      <c r="AP15" s="3379"/>
      <c r="AQ15" s="3376"/>
      <c r="AR15" s="3388"/>
      <c r="AS15" s="3388"/>
      <c r="AT15" s="3373"/>
      <c r="AU15" s="3373"/>
      <c r="AV15" s="3373"/>
      <c r="AW15" s="3373"/>
      <c r="AX15" s="3373"/>
      <c r="AY15" s="3373"/>
      <c r="AZ15" s="3373"/>
      <c r="BA15" s="3376"/>
      <c r="BB15" s="3373"/>
      <c r="BC15" s="3373"/>
      <c r="BD15" s="3379"/>
      <c r="BE15" s="3373"/>
      <c r="BF15" s="3373"/>
      <c r="BG15" s="3376"/>
      <c r="BH15" s="3373"/>
      <c r="BI15" s="2782"/>
      <c r="BJ15" s="2782"/>
      <c r="BK15" s="2782"/>
      <c r="BL15" s="2782"/>
      <c r="BM15" s="3355"/>
      <c r="BN15" s="2782"/>
      <c r="BO15" s="2782"/>
      <c r="BP15" s="2782"/>
      <c r="BQ15" s="2782"/>
      <c r="BR15" s="2782"/>
      <c r="BS15" s="2782"/>
      <c r="BT15" s="2782"/>
      <c r="BU15" s="2782"/>
      <c r="BV15" s="2461" t="s">
        <v>1548</v>
      </c>
      <c r="BW15" s="2461"/>
      <c r="BX15" s="2419"/>
      <c r="BY15" s="2382"/>
      <c r="BZ15" s="3355"/>
      <c r="CA15" s="3268"/>
      <c r="CB15" s="244"/>
      <c r="CC15" s="241"/>
      <c r="CD15" s="241"/>
      <c r="CE15" s="241"/>
      <c r="CF15" s="241"/>
      <c r="CG15" s="241"/>
      <c r="CH15" s="241"/>
      <c r="CI15" s="241"/>
      <c r="CJ15" s="241"/>
      <c r="CK15" s="241"/>
      <c r="CL15" s="241"/>
      <c r="CM15" s="241"/>
      <c r="CN15" s="340"/>
      <c r="CO15" s="340"/>
      <c r="CP15" s="340"/>
      <c r="CQ15" s="2404"/>
      <c r="CR15" s="3355"/>
      <c r="CS15" s="244"/>
      <c r="CT15" s="241"/>
      <c r="CU15" s="241"/>
      <c r="CV15" s="241"/>
      <c r="CW15" s="241"/>
      <c r="CX15" s="241"/>
      <c r="CY15" s="241"/>
      <c r="CZ15" s="241"/>
      <c r="DA15" s="241"/>
      <c r="DB15" s="241"/>
      <c r="DC15" s="241"/>
      <c r="DD15" s="241"/>
      <c r="DE15" s="241"/>
      <c r="DF15" s="241"/>
      <c r="DG15" s="241"/>
      <c r="DH15" s="538"/>
      <c r="DI15" s="3441"/>
      <c r="DJ15" s="3426"/>
      <c r="DK15" s="3428"/>
      <c r="DL15" s="3428"/>
      <c r="DM15" s="3430"/>
    </row>
    <row r="16" spans="1:117" ht="13.5" customHeight="1" x14ac:dyDescent="0.25">
      <c r="A16" s="3355"/>
      <c r="B16" s="2381"/>
      <c r="C16" s="2364"/>
      <c r="D16" s="497"/>
      <c r="E16" s="498"/>
      <c r="F16" s="497"/>
      <c r="G16" s="498"/>
      <c r="H16" s="496"/>
      <c r="I16" s="2496"/>
      <c r="J16" s="2495"/>
      <c r="K16" s="3424" t="s">
        <v>1549</v>
      </c>
      <c r="L16" s="3425"/>
      <c r="M16" s="2498"/>
      <c r="N16" s="3331"/>
      <c r="O16" s="499"/>
      <c r="P16" s="3359"/>
      <c r="Q16" s="3417" t="str">
        <f>CONCATENATE("3 Poste mobile voie publique ► (",W6,")")</f>
        <v>3 Poste mobile voie publique ► (10.28)</v>
      </c>
      <c r="R16" s="3418"/>
      <c r="S16" s="2782" t="str">
        <f>CONCATENATE("2 Locataire ►(",U6,")")</f>
        <v>2 Locataire ►(10.26)</v>
      </c>
      <c r="T16" s="500"/>
      <c r="U16" s="500" t="s">
        <v>920</v>
      </c>
      <c r="V16" s="500" t="s">
        <v>920</v>
      </c>
      <c r="W16" s="500" t="s">
        <v>920</v>
      </c>
      <c r="X16" s="3366" t="s">
        <v>1550</v>
      </c>
      <c r="Y16" s="500" t="s">
        <v>920</v>
      </c>
      <c r="Z16" s="500" t="s">
        <v>920</v>
      </c>
      <c r="AA16" s="500" t="s">
        <v>920</v>
      </c>
      <c r="AB16" s="3362" t="s">
        <v>1551</v>
      </c>
      <c r="AC16" s="499" t="s">
        <v>1552</v>
      </c>
      <c r="AD16" s="3355"/>
      <c r="AE16" s="500"/>
      <c r="AF16" s="500"/>
      <c r="AG16" s="500"/>
      <c r="AH16" s="502"/>
      <c r="AI16" s="500"/>
      <c r="AJ16" s="2490"/>
      <c r="AK16" s="3365"/>
      <c r="AL16" s="2490"/>
      <c r="AM16" s="3385" t="s">
        <v>1553</v>
      </c>
      <c r="AN16" s="3385" t="s">
        <v>1553</v>
      </c>
      <c r="AO16" s="3355"/>
      <c r="AP16" s="3379"/>
      <c r="AQ16" s="3376"/>
      <c r="AR16" s="3388"/>
      <c r="AS16" s="3388"/>
      <c r="AT16" s="3373"/>
      <c r="AU16" s="3373"/>
      <c r="AV16" s="3373"/>
      <c r="AW16" s="3373"/>
      <c r="AX16" s="3373"/>
      <c r="AY16" s="3373"/>
      <c r="AZ16" s="3373"/>
      <c r="BA16" s="3376"/>
      <c r="BB16" s="3373"/>
      <c r="BC16" s="3373"/>
      <c r="BD16" s="3379"/>
      <c r="BE16" s="3373"/>
      <c r="BF16" s="3373"/>
      <c r="BG16" s="3376"/>
      <c r="BH16" s="3373"/>
      <c r="BI16" s="2782"/>
      <c r="BJ16" s="2782"/>
      <c r="BK16" s="2782"/>
      <c r="BL16" s="2782"/>
      <c r="BM16" s="3355"/>
      <c r="BN16" s="2782"/>
      <c r="BO16" s="2782"/>
      <c r="BP16" s="2782"/>
      <c r="BQ16" s="2782"/>
      <c r="BR16" s="2782"/>
      <c r="BS16" s="2782"/>
      <c r="BT16" s="2782"/>
      <c r="BU16" s="2782"/>
      <c r="BV16" s="2808" t="s">
        <v>1554</v>
      </c>
      <c r="BW16" s="2461" t="s">
        <v>227</v>
      </c>
      <c r="BX16" s="2419"/>
      <c r="BY16" s="1653"/>
      <c r="BZ16" s="3355"/>
      <c r="CA16" s="3268"/>
      <c r="CB16" s="244" t="s">
        <v>1555</v>
      </c>
      <c r="CC16" s="241"/>
      <c r="CD16" s="241"/>
      <c r="CE16" s="241"/>
      <c r="CF16" s="241"/>
      <c r="CG16" s="241"/>
      <c r="CH16" s="241"/>
      <c r="CI16" s="241"/>
      <c r="CJ16" s="241"/>
      <c r="CK16" s="241"/>
      <c r="CL16" s="241"/>
      <c r="CM16" s="241"/>
      <c r="CN16" s="340"/>
      <c r="CO16" s="340"/>
      <c r="CP16" s="340"/>
      <c r="CQ16" s="2404"/>
      <c r="CR16" s="3355"/>
      <c r="CS16" s="244" t="s">
        <v>1556</v>
      </c>
      <c r="CT16" s="241"/>
      <c r="CU16" s="241"/>
      <c r="CV16" s="241"/>
      <c r="CW16" s="241"/>
      <c r="CX16" s="241"/>
      <c r="CY16" s="241"/>
      <c r="CZ16" s="241"/>
      <c r="DA16" s="241"/>
      <c r="DB16" s="241"/>
      <c r="DC16" s="241"/>
      <c r="DD16" s="241"/>
      <c r="DE16" s="241"/>
      <c r="DF16" s="241"/>
      <c r="DG16" s="241"/>
      <c r="DH16" s="538"/>
      <c r="DI16" s="3441"/>
      <c r="DJ16" s="3426"/>
      <c r="DK16" s="3428"/>
      <c r="DL16" s="3428"/>
      <c r="DM16" s="3430"/>
    </row>
    <row r="17" spans="1:117" ht="13.5" customHeight="1" x14ac:dyDescent="0.25">
      <c r="A17" s="3355"/>
      <c r="B17" s="2381"/>
      <c r="C17" s="2364"/>
      <c r="D17" s="497"/>
      <c r="E17" s="498"/>
      <c r="F17" s="497"/>
      <c r="G17" s="498"/>
      <c r="H17" s="496"/>
      <c r="I17" s="2496"/>
      <c r="J17" s="2495"/>
      <c r="K17" s="3424"/>
      <c r="L17" s="3425"/>
      <c r="M17" s="2498"/>
      <c r="N17" s="3366" t="str">
        <f>CONCATENATE("SI ZERO ►(", TEXT(Q6,"0.00"),")")</f>
        <v>SI ZERO ►(10.23)</v>
      </c>
      <c r="O17" s="1652"/>
      <c r="P17" s="3359"/>
      <c r="Q17" s="3417"/>
      <c r="R17" s="3418"/>
      <c r="S17" s="2782"/>
      <c r="T17" s="501"/>
      <c r="U17" s="500" t="s">
        <v>925</v>
      </c>
      <c r="V17" s="500" t="s">
        <v>925</v>
      </c>
      <c r="W17" s="500" t="s">
        <v>925</v>
      </c>
      <c r="X17" s="3366"/>
      <c r="Y17" s="500" t="s">
        <v>925</v>
      </c>
      <c r="Z17" s="500" t="s">
        <v>925</v>
      </c>
      <c r="AA17" s="500" t="s">
        <v>925</v>
      </c>
      <c r="AB17" s="3362"/>
      <c r="AC17" s="2490" t="s">
        <v>1557</v>
      </c>
      <c r="AD17" s="3355"/>
      <c r="AE17" s="3366"/>
      <c r="AF17" s="500"/>
      <c r="AG17" s="3366"/>
      <c r="AH17" s="503"/>
      <c r="AI17" s="758"/>
      <c r="AJ17" s="504"/>
      <c r="AK17" s="3365"/>
      <c r="AL17" s="504"/>
      <c r="AM17" s="3385"/>
      <c r="AN17" s="3385"/>
      <c r="AO17" s="3355"/>
      <c r="AP17" s="3379"/>
      <c r="AQ17" s="3376"/>
      <c r="AR17" s="3388"/>
      <c r="AS17" s="3388"/>
      <c r="AT17" s="3373"/>
      <c r="AU17" s="3373"/>
      <c r="AV17" s="3373"/>
      <c r="AW17" s="3373"/>
      <c r="AX17" s="3373"/>
      <c r="AY17" s="3373"/>
      <c r="AZ17" s="3373"/>
      <c r="BA17" s="3376"/>
      <c r="BB17" s="3373"/>
      <c r="BC17" s="3373"/>
      <c r="BD17" s="3379"/>
      <c r="BE17" s="3373"/>
      <c r="BF17" s="3373"/>
      <c r="BG17" s="3376"/>
      <c r="BH17" s="3373"/>
      <c r="BI17" s="2782"/>
      <c r="BJ17" s="2782"/>
      <c r="BK17" s="2782"/>
      <c r="BL17" s="2782"/>
      <c r="BM17" s="3355"/>
      <c r="BN17" s="2782"/>
      <c r="BO17" s="2782"/>
      <c r="BP17" s="2782"/>
      <c r="BQ17" s="2782"/>
      <c r="BR17" s="2782"/>
      <c r="BS17" s="2782"/>
      <c r="BT17" s="2782"/>
      <c r="BU17" s="2782"/>
      <c r="BV17" s="2808"/>
      <c r="BW17" s="2461" t="s">
        <v>240</v>
      </c>
      <c r="BX17" s="2351" t="s">
        <v>920</v>
      </c>
      <c r="BY17" s="3381" t="str">
        <f>CONCATENATE("Si 12 ►(",TEXT(CB6,"0.00"),")")</f>
        <v>Si 12 ►(10.61)</v>
      </c>
      <c r="BZ17" s="3355"/>
      <c r="CA17" s="3268"/>
      <c r="CB17" s="244"/>
      <c r="CC17" s="241"/>
      <c r="CD17" s="241"/>
      <c r="CE17" s="241"/>
      <c r="CF17" s="241"/>
      <c r="CG17" s="241"/>
      <c r="CH17" s="241"/>
      <c r="CI17" s="241"/>
      <c r="CJ17" s="241"/>
      <c r="CK17" s="241"/>
      <c r="CL17" s="241"/>
      <c r="CM17" s="241"/>
      <c r="CN17" s="340"/>
      <c r="CO17" s="340"/>
      <c r="CP17" s="340"/>
      <c r="CQ17" s="2404"/>
      <c r="CR17" s="3355"/>
      <c r="CS17" s="2419"/>
      <c r="CT17" s="340"/>
      <c r="CU17" s="340"/>
      <c r="CV17" s="340"/>
      <c r="CW17" s="241"/>
      <c r="CX17" s="241"/>
      <c r="CY17" s="241"/>
      <c r="CZ17" s="241"/>
      <c r="DA17" s="241"/>
      <c r="DB17" s="241"/>
      <c r="DC17" s="241"/>
      <c r="DD17" s="241"/>
      <c r="DE17" s="241"/>
      <c r="DF17" s="241"/>
      <c r="DG17" s="241"/>
      <c r="DH17" s="538"/>
      <c r="DI17" s="3441"/>
      <c r="DJ17" s="3426"/>
      <c r="DK17" s="3428"/>
      <c r="DL17" s="3428"/>
      <c r="DM17" s="3430"/>
    </row>
    <row r="18" spans="1:117" ht="13.5" customHeight="1" x14ac:dyDescent="0.25">
      <c r="A18" s="3355"/>
      <c r="B18" s="2381"/>
      <c r="C18" s="2364"/>
      <c r="D18" s="497"/>
      <c r="E18" s="498"/>
      <c r="F18" s="497"/>
      <c r="G18" s="498"/>
      <c r="H18" s="496"/>
      <c r="I18" s="497"/>
      <c r="J18" s="498"/>
      <c r="K18" s="3424"/>
      <c r="L18" s="3425"/>
      <c r="M18" s="496"/>
      <c r="N18" s="3330"/>
      <c r="O18" s="1652"/>
      <c r="P18" s="3359"/>
      <c r="Q18" s="3361" t="str">
        <f>CONCATENATE("4 A domicile ►(",W6,")")</f>
        <v>4 A domicile ►(10.28)</v>
      </c>
      <c r="R18" s="3362"/>
      <c r="S18" s="1403"/>
      <c r="T18" s="499"/>
      <c r="U18" s="501"/>
      <c r="V18" s="501"/>
      <c r="W18" s="501"/>
      <c r="X18" s="3366"/>
      <c r="Y18" s="501"/>
      <c r="Z18" s="501"/>
      <c r="AA18" s="499" t="s">
        <v>1558</v>
      </c>
      <c r="AB18" s="3362"/>
      <c r="AC18" s="2490" t="s">
        <v>1559</v>
      </c>
      <c r="AD18" s="3355"/>
      <c r="AE18" s="3366"/>
      <c r="AF18" s="501"/>
      <c r="AG18" s="3366"/>
      <c r="AH18" s="2365"/>
      <c r="AI18" s="758"/>
      <c r="AJ18" s="501"/>
      <c r="AK18" s="758"/>
      <c r="AL18" s="501"/>
      <c r="AM18" s="583" t="s">
        <v>1560</v>
      </c>
      <c r="AN18" s="584" t="s">
        <v>1560</v>
      </c>
      <c r="AO18" s="3355"/>
      <c r="AP18" s="3379"/>
      <c r="AQ18" s="3376"/>
      <c r="AR18" s="3388"/>
      <c r="AS18" s="3388"/>
      <c r="AT18" s="3373"/>
      <c r="AU18" s="3373"/>
      <c r="AV18" s="3373"/>
      <c r="AW18" s="3373"/>
      <c r="AX18" s="3373"/>
      <c r="AY18" s="3373"/>
      <c r="AZ18" s="3373"/>
      <c r="BA18" s="3376"/>
      <c r="BB18" s="3373"/>
      <c r="BC18" s="3373"/>
      <c r="BD18" s="3379"/>
      <c r="BE18" s="3373"/>
      <c r="BF18" s="3373"/>
      <c r="BG18" s="3376"/>
      <c r="BH18" s="3373"/>
      <c r="BI18" s="2782"/>
      <c r="BJ18" s="2782"/>
      <c r="BK18" s="2782"/>
      <c r="BL18" s="2782"/>
      <c r="BM18" s="3355"/>
      <c r="BN18" s="2782"/>
      <c r="BO18" s="2782"/>
      <c r="BP18" s="2782"/>
      <c r="BQ18" s="2782"/>
      <c r="BR18" s="2782"/>
      <c r="BS18" s="2782"/>
      <c r="BT18" s="2782"/>
      <c r="BU18" s="2782"/>
      <c r="BV18" s="2052" t="s">
        <v>1561</v>
      </c>
      <c r="BW18" s="2461"/>
      <c r="BX18" s="2351" t="s">
        <v>925</v>
      </c>
      <c r="BY18" s="3381"/>
      <c r="BZ18" s="3355"/>
      <c r="CA18" s="3268"/>
      <c r="CB18" s="244"/>
      <c r="CC18" s="241"/>
      <c r="CD18" s="241"/>
      <c r="CE18" s="241"/>
      <c r="CF18" s="241"/>
      <c r="CG18" s="241"/>
      <c r="CH18" s="241"/>
      <c r="CI18" s="241"/>
      <c r="CJ18" s="241"/>
      <c r="CK18" s="241"/>
      <c r="CL18" s="241"/>
      <c r="CM18" s="241"/>
      <c r="CN18" s="342"/>
      <c r="CO18" s="540"/>
      <c r="CP18" s="540"/>
      <c r="CQ18" s="541"/>
      <c r="CR18" s="3355"/>
      <c r="CS18" s="542"/>
      <c r="CT18" s="340"/>
      <c r="CU18" s="340"/>
      <c r="CV18" s="340"/>
      <c r="CW18" s="241"/>
      <c r="CX18" s="241"/>
      <c r="CY18" s="241"/>
      <c r="CZ18" s="241"/>
      <c r="DA18" s="241"/>
      <c r="DB18" s="241"/>
      <c r="DC18" s="241"/>
      <c r="DD18" s="241"/>
      <c r="DE18" s="241"/>
      <c r="DF18" s="241"/>
      <c r="DG18" s="241"/>
      <c r="DH18" s="538"/>
      <c r="DI18" s="3441"/>
      <c r="DJ18" s="3426"/>
      <c r="DK18" s="3428"/>
      <c r="DL18" s="3428"/>
      <c r="DM18" s="3430"/>
    </row>
    <row r="19" spans="1:117" ht="13.5" customHeight="1" x14ac:dyDescent="0.25">
      <c r="A19" s="3355"/>
      <c r="B19" s="499"/>
      <c r="C19" s="497"/>
      <c r="D19" s="497"/>
      <c r="E19" s="498"/>
      <c r="F19" s="497"/>
      <c r="G19" s="498"/>
      <c r="H19" s="580"/>
      <c r="I19" s="497"/>
      <c r="J19" s="498"/>
      <c r="K19" s="3424"/>
      <c r="L19" s="3425"/>
      <c r="M19" s="496"/>
      <c r="N19" s="3331"/>
      <c r="O19" s="1652"/>
      <c r="P19" s="3359"/>
      <c r="Q19" s="3361" t="str">
        <f>CONCATENATE("5 Domicile clients ►(",W6,")")</f>
        <v>5 Domicile clients ►(10.28)</v>
      </c>
      <c r="R19" s="3362"/>
      <c r="S19" s="1403"/>
      <c r="T19" s="499"/>
      <c r="U19" s="499"/>
      <c r="V19" s="499"/>
      <c r="W19" s="499"/>
      <c r="X19" s="3366" t="s">
        <v>1562</v>
      </c>
      <c r="Y19" s="499"/>
      <c r="Z19" s="499"/>
      <c r="AA19" s="2346"/>
      <c r="AB19" s="3362"/>
      <c r="AC19" s="504" t="s">
        <v>944</v>
      </c>
      <c r="AD19" s="3355"/>
      <c r="AE19" s="500" t="s">
        <v>920</v>
      </c>
      <c r="AF19" s="500"/>
      <c r="AG19" s="500" t="s">
        <v>920</v>
      </c>
      <c r="AH19" s="502"/>
      <c r="AI19" s="500" t="s">
        <v>920</v>
      </c>
      <c r="AJ19" s="2490"/>
      <c r="AK19" s="500" t="s">
        <v>920</v>
      </c>
      <c r="AL19" s="501"/>
      <c r="AM19" s="583" t="s">
        <v>1563</v>
      </c>
      <c r="AN19" s="584" t="s">
        <v>1563</v>
      </c>
      <c r="AO19" s="3355"/>
      <c r="AP19" s="3379"/>
      <c r="AQ19" s="3376"/>
      <c r="AR19" s="3388"/>
      <c r="AS19" s="3388"/>
      <c r="AT19" s="3373"/>
      <c r="AU19" s="3373"/>
      <c r="AV19" s="3373"/>
      <c r="AW19" s="3373"/>
      <c r="AX19" s="3373"/>
      <c r="AY19" s="3373"/>
      <c r="AZ19" s="3373"/>
      <c r="BA19" s="3376"/>
      <c r="BB19" s="3373"/>
      <c r="BC19" s="3373"/>
      <c r="BD19" s="3379"/>
      <c r="BE19" s="3373"/>
      <c r="BF19" s="3373"/>
      <c r="BG19" s="3376"/>
      <c r="BH19" s="3373"/>
      <c r="BI19" s="1111"/>
      <c r="BJ19" s="1111"/>
      <c r="BK19" s="1111"/>
      <c r="BL19" s="1111"/>
      <c r="BM19" s="3355"/>
      <c r="BN19" s="1111"/>
      <c r="BO19" s="2782"/>
      <c r="BP19" s="1111"/>
      <c r="BQ19" s="1111"/>
      <c r="BR19" s="1111"/>
      <c r="BS19" s="1111"/>
      <c r="BT19" s="1111"/>
      <c r="BU19" s="1111"/>
      <c r="BV19" s="2808" t="s">
        <v>1564</v>
      </c>
      <c r="BW19" s="2461"/>
      <c r="BX19" s="239"/>
      <c r="BY19" s="254"/>
      <c r="BZ19" s="3355"/>
      <c r="CA19" s="3268"/>
      <c r="CB19" s="244"/>
      <c r="CC19" s="241"/>
      <c r="CD19" s="241"/>
      <c r="CE19" s="241"/>
      <c r="CF19" s="241"/>
      <c r="CG19" s="241"/>
      <c r="CH19" s="241"/>
      <c r="CI19" s="241"/>
      <c r="CJ19" s="241"/>
      <c r="CK19" s="241"/>
      <c r="CL19" s="241"/>
      <c r="CM19" s="241"/>
      <c r="CN19" s="342"/>
      <c r="CO19" s="540"/>
      <c r="CP19" s="540"/>
      <c r="CQ19" s="541"/>
      <c r="CR19" s="3355"/>
      <c r="CS19" s="542"/>
      <c r="CT19" s="214"/>
      <c r="CU19" s="2352"/>
      <c r="CV19" s="2352"/>
      <c r="CW19" s="241"/>
      <c r="CX19" s="241"/>
      <c r="CY19" s="241"/>
      <c r="CZ19" s="241"/>
      <c r="DA19" s="241"/>
      <c r="DB19" s="241"/>
      <c r="DC19" s="241"/>
      <c r="DD19" s="241"/>
      <c r="DE19" s="241"/>
      <c r="DF19" s="241"/>
      <c r="DG19" s="241"/>
      <c r="DH19" s="538"/>
      <c r="DI19" s="1850"/>
      <c r="DJ19" s="3426"/>
      <c r="DK19" s="3428"/>
      <c r="DL19" s="3428"/>
      <c r="DM19" s="3430"/>
    </row>
    <row r="20" spans="1:117" ht="13.5" customHeight="1" x14ac:dyDescent="0.25">
      <c r="A20" s="3355"/>
      <c r="B20" s="499"/>
      <c r="C20" s="497"/>
      <c r="D20" s="497"/>
      <c r="E20" s="498"/>
      <c r="F20" s="497"/>
      <c r="G20" s="498"/>
      <c r="H20" s="580"/>
      <c r="I20" s="497"/>
      <c r="J20" s="498"/>
      <c r="K20" s="497"/>
      <c r="L20" s="498"/>
      <c r="M20" s="496"/>
      <c r="N20" s="2483"/>
      <c r="O20" s="1652"/>
      <c r="P20" s="3359"/>
      <c r="Q20" s="992" t="str">
        <f>CONCATENATE("6 Voiture, moto ►(",W6,")")</f>
        <v>6 Voiture, moto ►(10.28)</v>
      </c>
      <c r="S20" s="1403"/>
      <c r="T20" s="499"/>
      <c r="U20" s="499"/>
      <c r="V20" s="499"/>
      <c r="W20" s="499"/>
      <c r="X20" s="3366"/>
      <c r="Y20" s="499"/>
      <c r="Z20" s="499"/>
      <c r="AA20" s="2346"/>
      <c r="AB20" s="1406"/>
      <c r="AC20" s="501"/>
      <c r="AD20" s="3355"/>
      <c r="AE20" s="3366" t="str">
        <f>CONCATENATE("2. Non ►(",TEXT(AG6, "0.00"),")")</f>
        <v>2. Non ►(10.37)</v>
      </c>
      <c r="AF20" s="500"/>
      <c r="AG20" s="3366" t="str">
        <f>CONCATENATE("2. Non ►(",TEXT(AI6,"0.00"),")")</f>
        <v>2. Non ►(10.39)</v>
      </c>
      <c r="AH20" s="503"/>
      <c r="AI20" s="3366" t="str">
        <f>CONCATENATE("2. Non ►(",TEXT(AK6,"0.00"),")")</f>
        <v>2. Non ►(10.41)</v>
      </c>
      <c r="AJ20" s="504"/>
      <c r="AK20" s="3366" t="str">
        <f>CONCATENATE("2. Non ►(",TEXT(AM6,"0.00"),")")</f>
        <v>2. Non ►(10.43)</v>
      </c>
      <c r="AL20" s="501"/>
      <c r="AM20" s="585" t="s">
        <v>1565</v>
      </c>
      <c r="AN20" s="586" t="s">
        <v>1566</v>
      </c>
      <c r="AO20" s="3355"/>
      <c r="AP20" s="3379"/>
      <c r="AQ20" s="3376"/>
      <c r="AR20" s="3388"/>
      <c r="AS20" s="3388"/>
      <c r="AT20" s="3373"/>
      <c r="AU20" s="3373"/>
      <c r="AV20" s="3373"/>
      <c r="AW20" s="3373"/>
      <c r="AX20" s="3373"/>
      <c r="AY20" s="3373"/>
      <c r="AZ20" s="3373"/>
      <c r="BA20" s="3376"/>
      <c r="BB20" s="3373"/>
      <c r="BC20" s="3373"/>
      <c r="BD20" s="3379"/>
      <c r="BE20" s="3373"/>
      <c r="BF20" s="3373"/>
      <c r="BG20" s="3376"/>
      <c r="BH20" s="3373"/>
      <c r="BI20" s="2381"/>
      <c r="BJ20" s="2381"/>
      <c r="BK20" s="2381"/>
      <c r="BL20" s="2381"/>
      <c r="BM20" s="3355"/>
      <c r="BN20" s="2381"/>
      <c r="BO20" s="2381"/>
      <c r="BP20" s="2381"/>
      <c r="BQ20" s="2381"/>
      <c r="BR20" s="2381"/>
      <c r="BS20" s="2381"/>
      <c r="BT20" s="2381"/>
      <c r="BU20" s="2381"/>
      <c r="BV20" s="2808"/>
      <c r="BW20" s="2461"/>
      <c r="BX20" s="239"/>
      <c r="BY20" s="254"/>
      <c r="BZ20" s="3355"/>
      <c r="CA20" s="3268"/>
      <c r="CB20" s="244"/>
      <c r="CC20" s="241"/>
      <c r="CD20" s="241"/>
      <c r="CE20" s="241"/>
      <c r="CF20" s="241"/>
      <c r="CG20" s="241"/>
      <c r="CH20" s="241"/>
      <c r="CI20" s="241"/>
      <c r="CJ20" s="241"/>
      <c r="CK20" s="241"/>
      <c r="CL20" s="241"/>
      <c r="CM20" s="241"/>
      <c r="CN20" s="342"/>
      <c r="CO20" s="540"/>
      <c r="CP20" s="540"/>
      <c r="CQ20" s="541"/>
      <c r="CR20" s="3355"/>
      <c r="CS20" s="542"/>
      <c r="CT20" s="214"/>
      <c r="CU20" s="2352"/>
      <c r="CV20" s="2352"/>
      <c r="CW20" s="241"/>
      <c r="CX20" s="241"/>
      <c r="CY20" s="241"/>
      <c r="CZ20" s="241"/>
      <c r="DA20" s="241"/>
      <c r="DB20" s="241"/>
      <c r="DC20" s="241"/>
      <c r="DD20" s="241"/>
      <c r="DE20" s="241"/>
      <c r="DF20" s="241"/>
      <c r="DG20" s="241"/>
      <c r="DH20" s="538"/>
      <c r="DI20" s="1850"/>
      <c r="DJ20" s="3426"/>
      <c r="DK20" s="3428"/>
      <c r="DL20" s="3428"/>
      <c r="DM20" s="3430"/>
    </row>
    <row r="21" spans="1:117" ht="13.5" customHeight="1" x14ac:dyDescent="0.25">
      <c r="A21" s="3355"/>
      <c r="B21" s="499"/>
      <c r="C21" s="497"/>
      <c r="D21" s="497"/>
      <c r="E21" s="498"/>
      <c r="F21" s="497"/>
      <c r="G21" s="498"/>
      <c r="H21" s="580"/>
      <c r="I21" s="497"/>
      <c r="J21" s="498"/>
      <c r="K21" s="497"/>
      <c r="L21" s="498"/>
      <c r="M21" s="496"/>
      <c r="N21" s="2483"/>
      <c r="O21" s="1652"/>
      <c r="P21" s="3359"/>
      <c r="Q21" s="992" t="str">
        <f>CONCATENATE("7 Ambulant ► (",W6,")")</f>
        <v>7 Ambulant ► (10.28)</v>
      </c>
      <c r="R21" s="1402"/>
      <c r="S21" s="1403"/>
      <c r="T21" s="499"/>
      <c r="U21" s="499"/>
      <c r="V21" s="499"/>
      <c r="W21" s="499"/>
      <c r="X21" s="3366"/>
      <c r="Y21" s="499"/>
      <c r="Z21" s="499"/>
      <c r="AA21" s="2346"/>
      <c r="AB21" s="3419" t="s">
        <v>1567</v>
      </c>
      <c r="AC21" s="501"/>
      <c r="AD21" s="3355"/>
      <c r="AE21" s="3366"/>
      <c r="AF21" s="501"/>
      <c r="AG21" s="3366"/>
      <c r="AH21" s="2365"/>
      <c r="AI21" s="3366"/>
      <c r="AJ21" s="501"/>
      <c r="AK21" s="3366"/>
      <c r="AL21" s="501"/>
      <c r="AM21" s="1336" t="s">
        <v>1568</v>
      </c>
      <c r="AN21" s="501"/>
      <c r="AO21" s="3355"/>
      <c r="AP21" s="3379"/>
      <c r="AQ21" s="3376"/>
      <c r="AR21" s="3388"/>
      <c r="AS21" s="3388"/>
      <c r="AT21" s="3373"/>
      <c r="AU21" s="3373"/>
      <c r="AV21" s="3373"/>
      <c r="AW21" s="3373"/>
      <c r="AX21" s="3373"/>
      <c r="AY21" s="3373"/>
      <c r="AZ21" s="3373"/>
      <c r="BA21" s="3376"/>
      <c r="BB21" s="3373"/>
      <c r="BC21" s="3373"/>
      <c r="BD21" s="3379"/>
      <c r="BE21" s="3373"/>
      <c r="BF21" s="3373"/>
      <c r="BG21" s="3376"/>
      <c r="BH21" s="3373"/>
      <c r="BI21" s="3253" t="s">
        <v>1569</v>
      </c>
      <c r="BJ21" s="3253" t="s">
        <v>1569</v>
      </c>
      <c r="BK21" s="3253" t="s">
        <v>1569</v>
      </c>
      <c r="BL21" s="3253" t="s">
        <v>1569</v>
      </c>
      <c r="BM21" s="3355"/>
      <c r="BN21" s="3253" t="s">
        <v>1569</v>
      </c>
      <c r="BO21" s="3253" t="s">
        <v>1569</v>
      </c>
      <c r="BP21" s="3253" t="s">
        <v>1569</v>
      </c>
      <c r="BQ21" s="3253" t="s">
        <v>1569</v>
      </c>
      <c r="BR21" s="3253" t="s">
        <v>1569</v>
      </c>
      <c r="BS21" s="3253" t="s">
        <v>1569</v>
      </c>
      <c r="BT21" s="3253" t="s">
        <v>1569</v>
      </c>
      <c r="BU21" s="3253" t="s">
        <v>1569</v>
      </c>
      <c r="BV21" s="2808" t="str">
        <f>CONCATENATE("5 Aucune assistance ►(",TEXT(BX6,"0.00"),")")</f>
        <v>5 Aucune assistance ►(10.58)</v>
      </c>
      <c r="BW21" s="2461"/>
      <c r="BX21" s="239"/>
      <c r="BY21" s="254"/>
      <c r="BZ21" s="3355"/>
      <c r="CA21" s="3268"/>
      <c r="CB21" s="244"/>
      <c r="CC21" s="241"/>
      <c r="CD21" s="241"/>
      <c r="CE21" s="241"/>
      <c r="CF21" s="241"/>
      <c r="CG21" s="241"/>
      <c r="CH21" s="241"/>
      <c r="CI21" s="241"/>
      <c r="CJ21" s="241"/>
      <c r="CK21" s="241"/>
      <c r="CL21" s="241"/>
      <c r="CM21" s="241"/>
      <c r="CN21" s="342"/>
      <c r="CO21" s="540"/>
      <c r="CP21" s="540"/>
      <c r="CQ21" s="541"/>
      <c r="CR21" s="3355"/>
      <c r="CS21" s="542"/>
      <c r="CT21" s="214"/>
      <c r="CU21" s="2352"/>
      <c r="CV21" s="2352"/>
      <c r="CW21" s="241"/>
      <c r="CX21" s="241"/>
      <c r="CY21" s="241"/>
      <c r="CZ21" s="241"/>
      <c r="DA21" s="241"/>
      <c r="DB21" s="241"/>
      <c r="DC21" s="241"/>
      <c r="DD21" s="241"/>
      <c r="DE21" s="241"/>
      <c r="DF21" s="241"/>
      <c r="DG21" s="241"/>
      <c r="DH21" s="538"/>
      <c r="DI21" s="1850"/>
      <c r="DJ21" s="3426"/>
      <c r="DK21" s="3428"/>
      <c r="DL21" s="3428"/>
      <c r="DM21" s="3430"/>
    </row>
    <row r="22" spans="1:117" ht="13.5" customHeight="1" x14ac:dyDescent="0.25">
      <c r="A22" s="3355"/>
      <c r="B22" s="499"/>
      <c r="C22" s="497"/>
      <c r="D22" s="497"/>
      <c r="E22" s="498"/>
      <c r="F22" s="497"/>
      <c r="G22" s="498"/>
      <c r="H22" s="580"/>
      <c r="I22" s="497"/>
      <c r="J22" s="498"/>
      <c r="K22" s="497"/>
      <c r="L22" s="498"/>
      <c r="M22" s="496"/>
      <c r="N22" s="2483"/>
      <c r="O22" s="1652"/>
      <c r="P22" s="3359"/>
      <c r="Q22" s="3361" t="str">
        <f>CONCATENATE("8 Autre (à préciser) ►(",W6,")")</f>
        <v>8 Autre (à préciser) ►(10.28)</v>
      </c>
      <c r="R22" s="3362"/>
      <c r="S22" s="1403"/>
      <c r="T22" s="499"/>
      <c r="U22" s="499"/>
      <c r="V22" s="499"/>
      <c r="W22" s="499"/>
      <c r="X22" s="3365" t="s">
        <v>1570</v>
      </c>
      <c r="Y22" s="499"/>
      <c r="Z22" s="499"/>
      <c r="AA22" s="2346"/>
      <c r="AB22" s="3419"/>
      <c r="AC22" s="501"/>
      <c r="AD22" s="3355"/>
      <c r="AE22" s="499"/>
      <c r="AF22" s="499"/>
      <c r="AG22" s="499"/>
      <c r="AH22" s="2365"/>
      <c r="AJ22" s="501"/>
      <c r="AK22" s="501"/>
      <c r="AL22" s="501"/>
      <c r="AM22" s="1336" t="s">
        <v>1571</v>
      </c>
      <c r="AN22" s="501"/>
      <c r="AO22" s="3355"/>
      <c r="AP22" s="3379"/>
      <c r="AQ22" s="3376"/>
      <c r="AR22" s="3388"/>
      <c r="AS22" s="3388"/>
      <c r="AT22" s="3373"/>
      <c r="AU22" s="3373"/>
      <c r="AV22" s="3373"/>
      <c r="AW22" s="3373"/>
      <c r="AX22" s="3373"/>
      <c r="AY22" s="3373"/>
      <c r="AZ22" s="3373"/>
      <c r="BA22" s="3376"/>
      <c r="BB22" s="3373"/>
      <c r="BC22" s="3373"/>
      <c r="BD22" s="3379"/>
      <c r="BE22" s="3373"/>
      <c r="BF22" s="3373"/>
      <c r="BG22" s="3376"/>
      <c r="BH22" s="3373"/>
      <c r="BI22" s="3253"/>
      <c r="BJ22" s="3253"/>
      <c r="BK22" s="3253"/>
      <c r="BL22" s="3253"/>
      <c r="BM22" s="3355"/>
      <c r="BN22" s="3253"/>
      <c r="BO22" s="3253"/>
      <c r="BP22" s="3253"/>
      <c r="BQ22" s="3253"/>
      <c r="BR22" s="3253"/>
      <c r="BS22" s="3253"/>
      <c r="BT22" s="3253"/>
      <c r="BU22" s="3253"/>
      <c r="BV22" s="2808"/>
      <c r="BW22" s="2107"/>
      <c r="BX22" s="239"/>
      <c r="BY22" s="254"/>
      <c r="BZ22" s="3355"/>
      <c r="CA22" s="3268"/>
      <c r="CB22" s="244"/>
      <c r="CC22" s="241"/>
      <c r="CD22" s="241"/>
      <c r="CE22" s="241"/>
      <c r="CF22" s="241"/>
      <c r="CG22" s="241"/>
      <c r="CH22" s="241"/>
      <c r="CI22" s="241"/>
      <c r="CJ22" s="241"/>
      <c r="CK22" s="241"/>
      <c r="CL22" s="241"/>
      <c r="CM22" s="241"/>
      <c r="CN22" s="342"/>
      <c r="CO22" s="540"/>
      <c r="CP22" s="540"/>
      <c r="CQ22" s="541"/>
      <c r="CR22" s="3355"/>
      <c r="CS22" s="542"/>
      <c r="CT22" s="214"/>
      <c r="CU22" s="2352"/>
      <c r="CV22" s="2352"/>
      <c r="CW22" s="241"/>
      <c r="CX22" s="241"/>
      <c r="CY22" s="241"/>
      <c r="CZ22" s="241"/>
      <c r="DA22" s="241"/>
      <c r="DB22" s="241"/>
      <c r="DC22" s="241"/>
      <c r="DD22" s="241"/>
      <c r="DE22" s="241"/>
      <c r="DF22" s="241"/>
      <c r="DG22" s="241"/>
      <c r="DH22" s="538"/>
      <c r="DI22" s="1850"/>
      <c r="DJ22" s="3426"/>
      <c r="DK22" s="3428"/>
      <c r="DL22" s="3428"/>
      <c r="DM22" s="3430"/>
    </row>
    <row r="23" spans="1:117" ht="13.5" customHeight="1" x14ac:dyDescent="0.25">
      <c r="A23" s="3355"/>
      <c r="B23" s="499"/>
      <c r="C23" s="497"/>
      <c r="D23" s="497"/>
      <c r="E23" s="498"/>
      <c r="F23" s="497"/>
      <c r="G23" s="498"/>
      <c r="H23" s="580"/>
      <c r="I23" s="497"/>
      <c r="J23" s="498"/>
      <c r="K23" s="497"/>
      <c r="L23" s="498"/>
      <c r="M23" s="496"/>
      <c r="N23" s="2483"/>
      <c r="O23" s="1652"/>
      <c r="P23" s="3359"/>
      <c r="Q23" s="3361"/>
      <c r="R23" s="3362"/>
      <c r="S23" s="1403"/>
      <c r="T23" s="499"/>
      <c r="U23" s="499"/>
      <c r="V23" s="499"/>
      <c r="W23" s="499"/>
      <c r="X23" s="3365"/>
      <c r="Y23" s="499"/>
      <c r="Z23" s="499"/>
      <c r="AA23" s="2346"/>
      <c r="AC23" s="501"/>
      <c r="AD23" s="3355"/>
      <c r="AE23" s="499"/>
      <c r="AF23" s="499"/>
      <c r="AG23" s="499"/>
      <c r="AH23" s="2365"/>
      <c r="AJ23" s="501"/>
      <c r="AK23" s="501"/>
      <c r="AL23" s="501"/>
      <c r="AN23" s="501"/>
      <c r="AO23" s="3355"/>
      <c r="AP23" s="3379"/>
      <c r="AQ23" s="3376"/>
      <c r="AR23" s="3388"/>
      <c r="AS23" s="3388"/>
      <c r="AT23" s="3373"/>
      <c r="AU23" s="3373"/>
      <c r="AV23" s="3373"/>
      <c r="AW23" s="3373"/>
      <c r="AX23" s="3373"/>
      <c r="AY23" s="3373"/>
      <c r="AZ23" s="3373"/>
      <c r="BA23" s="3376"/>
      <c r="BB23" s="3373"/>
      <c r="BC23" s="3373"/>
      <c r="BD23" s="3379"/>
      <c r="BE23" s="3373"/>
      <c r="BF23" s="3373"/>
      <c r="BG23" s="3376"/>
      <c r="BH23" s="3373"/>
      <c r="BI23" s="3253"/>
      <c r="BJ23" s="3253"/>
      <c r="BK23" s="3253"/>
      <c r="BL23" s="3253"/>
      <c r="BM23" s="3355"/>
      <c r="BN23" s="3253"/>
      <c r="BO23" s="3253"/>
      <c r="BP23" s="3253"/>
      <c r="BQ23" s="3253"/>
      <c r="BR23" s="3253"/>
      <c r="BS23" s="3253"/>
      <c r="BT23" s="3253"/>
      <c r="BU23" s="3253"/>
      <c r="BV23" s="2107"/>
      <c r="BW23" s="2107"/>
      <c r="BX23" s="239"/>
      <c r="BY23" s="254"/>
      <c r="BZ23" s="3355"/>
      <c r="CA23" s="3268"/>
      <c r="CB23" s="244"/>
      <c r="CC23" s="241"/>
      <c r="CD23" s="241"/>
      <c r="CE23" s="241"/>
      <c r="CF23" s="241"/>
      <c r="CG23" s="241"/>
      <c r="CH23" s="241"/>
      <c r="CI23" s="241"/>
      <c r="CJ23" s="241"/>
      <c r="CK23" s="241"/>
      <c r="CL23" s="241"/>
      <c r="CM23" s="241"/>
      <c r="CN23" s="342"/>
      <c r="CO23" s="540"/>
      <c r="CP23" s="540"/>
      <c r="CQ23" s="541"/>
      <c r="CR23" s="3355"/>
      <c r="CS23" s="542"/>
      <c r="CT23" s="214"/>
      <c r="CU23" s="2352"/>
      <c r="CV23" s="2352"/>
      <c r="CW23" s="241"/>
      <c r="CX23" s="241"/>
      <c r="CY23" s="241"/>
      <c r="CZ23" s="241"/>
      <c r="DA23" s="241"/>
      <c r="DB23" s="241"/>
      <c r="DC23" s="241"/>
      <c r="DD23" s="241"/>
      <c r="DE23" s="241"/>
      <c r="DF23" s="241"/>
      <c r="DG23" s="241"/>
      <c r="DH23" s="538"/>
      <c r="DI23" s="1850"/>
      <c r="DJ23" s="3426"/>
      <c r="DK23" s="3428"/>
      <c r="DL23" s="3428"/>
      <c r="DM23" s="3430"/>
    </row>
    <row r="24" spans="1:117" ht="13.5" customHeight="1" x14ac:dyDescent="0.25">
      <c r="A24" s="3355"/>
      <c r="B24" s="499"/>
      <c r="C24" s="497"/>
      <c r="D24" s="497"/>
      <c r="E24" s="498"/>
      <c r="F24" s="497"/>
      <c r="G24" s="498"/>
      <c r="H24" s="580"/>
      <c r="I24" s="497"/>
      <c r="J24" s="498"/>
      <c r="K24" s="497"/>
      <c r="L24" s="498"/>
      <c r="M24" s="496"/>
      <c r="N24" s="2483"/>
      <c r="O24" s="1652"/>
      <c r="P24" s="3359"/>
      <c r="Q24" s="505"/>
      <c r="R24" s="1402"/>
      <c r="S24" s="1404"/>
      <c r="T24" s="499"/>
      <c r="U24" s="499"/>
      <c r="V24" s="499"/>
      <c r="W24" s="499"/>
      <c r="X24" s="3386"/>
      <c r="Y24" s="499"/>
      <c r="Z24" s="499"/>
      <c r="AA24" s="2360"/>
      <c r="AC24" s="506"/>
      <c r="AD24" s="3355"/>
      <c r="AE24" s="499"/>
      <c r="AF24" s="499"/>
      <c r="AG24" s="499"/>
      <c r="AH24" s="2365"/>
      <c r="AJ24" s="501"/>
      <c r="AK24" s="501"/>
      <c r="AL24" s="501"/>
      <c r="AN24" s="506"/>
      <c r="AO24" s="3355"/>
      <c r="AP24" s="3380"/>
      <c r="AQ24" s="3377"/>
      <c r="AR24" s="3389"/>
      <c r="AS24" s="3389"/>
      <c r="AT24" s="3374"/>
      <c r="AU24" s="3374"/>
      <c r="AV24" s="3374"/>
      <c r="AW24" s="3374"/>
      <c r="AX24" s="3374"/>
      <c r="AY24" s="3374"/>
      <c r="AZ24" s="3374"/>
      <c r="BA24" s="3377"/>
      <c r="BB24" s="3374"/>
      <c r="BC24" s="3374"/>
      <c r="BD24" s="3380"/>
      <c r="BE24" s="3374"/>
      <c r="BF24" s="3374"/>
      <c r="BG24" s="3377"/>
      <c r="BH24" s="3374"/>
      <c r="BI24" s="591"/>
      <c r="BJ24" s="591"/>
      <c r="BK24" s="591"/>
      <c r="BL24" s="591"/>
      <c r="BM24" s="3355"/>
      <c r="BN24" s="591"/>
      <c r="BO24" s="591"/>
      <c r="BP24" s="591"/>
      <c r="BQ24" s="591"/>
      <c r="BR24" s="591"/>
      <c r="BS24" s="591"/>
      <c r="BT24" s="591"/>
      <c r="BU24" s="591"/>
      <c r="BV24" s="2108"/>
      <c r="BW24" s="2108"/>
      <c r="BX24" s="239"/>
      <c r="BY24" s="254"/>
      <c r="BZ24" s="3355"/>
      <c r="CA24" s="3440"/>
      <c r="CB24" s="244"/>
      <c r="CC24" s="241"/>
      <c r="CD24" s="241"/>
      <c r="CE24" s="241"/>
      <c r="CF24" s="241"/>
      <c r="CG24" s="241"/>
      <c r="CH24" s="241"/>
      <c r="CI24" s="241"/>
      <c r="CJ24" s="241"/>
      <c r="CK24" s="241"/>
      <c r="CL24" s="241"/>
      <c r="CM24" s="241"/>
      <c r="CN24" s="342"/>
      <c r="CO24" s="540"/>
      <c r="CP24" s="540"/>
      <c r="CQ24" s="541"/>
      <c r="CR24" s="3355"/>
      <c r="CS24" s="3382" t="s">
        <v>1572</v>
      </c>
      <c r="CT24" s="3383"/>
      <c r="CU24" s="3383"/>
      <c r="CV24" s="3383"/>
      <c r="CW24" s="3383"/>
      <c r="CX24" s="3383"/>
      <c r="CY24" s="3383"/>
      <c r="CZ24" s="3384"/>
      <c r="DA24" s="3383" t="s">
        <v>1573</v>
      </c>
      <c r="DB24" s="3383"/>
      <c r="DC24" s="3383"/>
      <c r="DD24" s="3383"/>
      <c r="DE24" s="3383"/>
      <c r="DF24" s="3383"/>
      <c r="DG24" s="3383"/>
      <c r="DH24" s="3384"/>
      <c r="DI24" s="1850"/>
      <c r="DJ24" s="3426"/>
      <c r="DK24" s="3428"/>
      <c r="DL24" s="3428"/>
      <c r="DM24" s="3430"/>
    </row>
    <row r="25" spans="1:117" ht="18" customHeight="1" x14ac:dyDescent="0.25">
      <c r="A25" s="3355"/>
      <c r="B25" s="509"/>
      <c r="C25" s="934"/>
      <c r="D25" s="510" t="s">
        <v>1574</v>
      </c>
      <c r="E25" s="510" t="s">
        <v>1575</v>
      </c>
      <c r="F25" s="507"/>
      <c r="G25" s="508"/>
      <c r="H25" s="3390" t="s">
        <v>1576</v>
      </c>
      <c r="I25" s="510" t="s">
        <v>1577</v>
      </c>
      <c r="J25" s="510" t="s">
        <v>1578</v>
      </c>
      <c r="K25" s="510" t="s">
        <v>1579</v>
      </c>
      <c r="L25" s="510" t="s">
        <v>1580</v>
      </c>
      <c r="M25" s="3392" t="s">
        <v>348</v>
      </c>
      <c r="N25" s="3392" t="s">
        <v>141</v>
      </c>
      <c r="O25" s="3392" t="s">
        <v>346</v>
      </c>
      <c r="P25" s="3359"/>
      <c r="Q25" s="3394" t="s">
        <v>346</v>
      </c>
      <c r="R25" s="3395"/>
      <c r="S25" s="3370" t="s">
        <v>346</v>
      </c>
      <c r="T25" s="3370" t="s">
        <v>353</v>
      </c>
      <c r="U25" s="3370" t="s">
        <v>352</v>
      </c>
      <c r="V25" s="3370" t="s">
        <v>352</v>
      </c>
      <c r="W25" s="3370" t="s">
        <v>352</v>
      </c>
      <c r="X25" s="3370" t="s">
        <v>352</v>
      </c>
      <c r="Y25" s="3370" t="s">
        <v>352</v>
      </c>
      <c r="Z25" s="3370" t="s">
        <v>352</v>
      </c>
      <c r="AA25" s="3370" t="s">
        <v>352</v>
      </c>
      <c r="AB25" s="3370" t="s">
        <v>352</v>
      </c>
      <c r="AC25" s="3370" t="s">
        <v>346</v>
      </c>
      <c r="AD25" s="3355"/>
      <c r="AE25" s="3370" t="s">
        <v>352</v>
      </c>
      <c r="AF25" s="3370" t="s">
        <v>353</v>
      </c>
      <c r="AG25" s="3370" t="s">
        <v>352</v>
      </c>
      <c r="AH25" s="3370" t="s">
        <v>353</v>
      </c>
      <c r="AI25" s="3370" t="s">
        <v>352</v>
      </c>
      <c r="AJ25" s="3370" t="s">
        <v>353</v>
      </c>
      <c r="AK25" s="3370" t="s">
        <v>352</v>
      </c>
      <c r="AL25" s="3370" t="s">
        <v>353</v>
      </c>
      <c r="AM25" s="3370" t="s">
        <v>352</v>
      </c>
      <c r="AN25" s="3370" t="s">
        <v>352</v>
      </c>
      <c r="AO25" s="3355"/>
      <c r="AP25" s="3370" t="s">
        <v>346</v>
      </c>
      <c r="AQ25" s="3420" t="s">
        <v>346</v>
      </c>
      <c r="AR25" s="3399" t="s">
        <v>352</v>
      </c>
      <c r="AS25" s="3399" t="s">
        <v>346</v>
      </c>
      <c r="AT25" s="3370" t="s">
        <v>352</v>
      </c>
      <c r="AU25" s="3370" t="s">
        <v>352</v>
      </c>
      <c r="AV25" s="3370" t="s">
        <v>352</v>
      </c>
      <c r="AW25" s="3370" t="s">
        <v>352</v>
      </c>
      <c r="AX25" s="3370" t="s">
        <v>352</v>
      </c>
      <c r="AY25" s="3370" t="s">
        <v>352</v>
      </c>
      <c r="AZ25" s="3370" t="s">
        <v>352</v>
      </c>
      <c r="BA25" s="3422" t="s">
        <v>352</v>
      </c>
      <c r="BB25" s="3370" t="s">
        <v>352</v>
      </c>
      <c r="BC25" s="3370" t="s">
        <v>352</v>
      </c>
      <c r="BD25" s="3370" t="s">
        <v>352</v>
      </c>
      <c r="BE25" s="3370" t="s">
        <v>352</v>
      </c>
      <c r="BF25" s="3370" t="s">
        <v>352</v>
      </c>
      <c r="BG25" s="3420" t="s">
        <v>352</v>
      </c>
      <c r="BH25" s="3370" t="s">
        <v>352</v>
      </c>
      <c r="BI25" s="3332" t="s">
        <v>519</v>
      </c>
      <c r="BJ25" s="3332" t="s">
        <v>519</v>
      </c>
      <c r="BK25" s="3332" t="s">
        <v>519</v>
      </c>
      <c r="BL25" s="3332" t="s">
        <v>519</v>
      </c>
      <c r="BM25" s="3355"/>
      <c r="BN25" s="3332" t="s">
        <v>519</v>
      </c>
      <c r="BO25" s="3332" t="s">
        <v>519</v>
      </c>
      <c r="BP25" s="3332" t="s">
        <v>519</v>
      </c>
      <c r="BQ25" s="3332" t="s">
        <v>519</v>
      </c>
      <c r="BR25" s="3332" t="s">
        <v>519</v>
      </c>
      <c r="BS25" s="3332" t="s">
        <v>519</v>
      </c>
      <c r="BT25" s="3332" t="s">
        <v>519</v>
      </c>
      <c r="BU25" s="3332" t="s">
        <v>519</v>
      </c>
      <c r="BV25" s="3438" t="s">
        <v>346</v>
      </c>
      <c r="BW25" s="3438" t="s">
        <v>346</v>
      </c>
      <c r="BX25" s="3401" t="s">
        <v>346</v>
      </c>
      <c r="BY25" s="3403" t="s">
        <v>1581</v>
      </c>
      <c r="BZ25" s="3355"/>
      <c r="CA25" s="3405" t="s">
        <v>346</v>
      </c>
      <c r="CB25" s="3407" t="s">
        <v>1582</v>
      </c>
      <c r="CC25" s="3408"/>
      <c r="CD25" s="3408"/>
      <c r="CE25" s="3409"/>
      <c r="CF25" s="3407" t="s">
        <v>1583</v>
      </c>
      <c r="CG25" s="3408"/>
      <c r="CH25" s="3408"/>
      <c r="CI25" s="3409"/>
      <c r="CJ25" s="3408" t="s">
        <v>1584</v>
      </c>
      <c r="CK25" s="3408"/>
      <c r="CL25" s="3408"/>
      <c r="CM25" s="3409"/>
      <c r="CN25" s="3407" t="s">
        <v>1585</v>
      </c>
      <c r="CO25" s="3408"/>
      <c r="CP25" s="3408"/>
      <c r="CQ25" s="3409"/>
      <c r="CR25" s="3355"/>
      <c r="CS25" s="3382" t="s">
        <v>1586</v>
      </c>
      <c r="CT25" s="3383"/>
      <c r="CU25" s="3383"/>
      <c r="CV25" s="3383"/>
      <c r="CW25" s="3382" t="s">
        <v>1587</v>
      </c>
      <c r="CX25" s="3383"/>
      <c r="CY25" s="3383"/>
      <c r="CZ25" s="3384"/>
      <c r="DA25" s="3383" t="s">
        <v>1588</v>
      </c>
      <c r="DB25" s="3383"/>
      <c r="DC25" s="3383"/>
      <c r="DD25" s="3384"/>
      <c r="DE25" s="3382" t="s">
        <v>1589</v>
      </c>
      <c r="DF25" s="3383"/>
      <c r="DG25" s="3383"/>
      <c r="DH25" s="3384"/>
      <c r="DI25" s="1850"/>
      <c r="DJ25" s="3427"/>
      <c r="DK25" s="3429"/>
      <c r="DL25" s="3429"/>
      <c r="DM25" s="3431"/>
    </row>
    <row r="26" spans="1:117" x14ac:dyDescent="0.25">
      <c r="A26" s="3356"/>
      <c r="B26" s="511" t="s">
        <v>170</v>
      </c>
      <c r="C26" s="936" t="s">
        <v>1590</v>
      </c>
      <c r="D26" s="511" t="s">
        <v>170</v>
      </c>
      <c r="E26" s="511" t="s">
        <v>170</v>
      </c>
      <c r="F26" s="3442" t="s">
        <v>1591</v>
      </c>
      <c r="G26" s="3443"/>
      <c r="H26" s="3391"/>
      <c r="I26" s="511" t="s">
        <v>170</v>
      </c>
      <c r="J26" s="511" t="s">
        <v>170</v>
      </c>
      <c r="K26" s="511" t="s">
        <v>170</v>
      </c>
      <c r="L26" s="511" t="s">
        <v>170</v>
      </c>
      <c r="M26" s="3333"/>
      <c r="N26" s="3333"/>
      <c r="O26" s="3393"/>
      <c r="P26" s="3360"/>
      <c r="Q26" s="3396"/>
      <c r="R26" s="3397"/>
      <c r="S26" s="3371"/>
      <c r="T26" s="3371"/>
      <c r="U26" s="3371"/>
      <c r="V26" s="3371"/>
      <c r="W26" s="3371"/>
      <c r="X26" s="3371"/>
      <c r="Y26" s="3371"/>
      <c r="Z26" s="3371"/>
      <c r="AA26" s="3371"/>
      <c r="AB26" s="3371"/>
      <c r="AC26" s="3371"/>
      <c r="AD26" s="3356"/>
      <c r="AE26" s="3371"/>
      <c r="AF26" s="3371"/>
      <c r="AG26" s="3371"/>
      <c r="AH26" s="3371"/>
      <c r="AI26" s="3371"/>
      <c r="AJ26" s="3371"/>
      <c r="AK26" s="3371"/>
      <c r="AL26" s="3371"/>
      <c r="AM26" s="3371"/>
      <c r="AN26" s="3371"/>
      <c r="AO26" s="3356"/>
      <c r="AP26" s="3371"/>
      <c r="AQ26" s="3421"/>
      <c r="AR26" s="3400"/>
      <c r="AS26" s="3400"/>
      <c r="AT26" s="3371"/>
      <c r="AU26" s="3371"/>
      <c r="AV26" s="3371"/>
      <c r="AW26" s="3371"/>
      <c r="AX26" s="3371"/>
      <c r="AY26" s="3371"/>
      <c r="AZ26" s="3371"/>
      <c r="BA26" s="3423"/>
      <c r="BB26" s="3371"/>
      <c r="BC26" s="3371"/>
      <c r="BD26" s="3371"/>
      <c r="BE26" s="3371"/>
      <c r="BF26" s="3371"/>
      <c r="BG26" s="3421"/>
      <c r="BH26" s="3371"/>
      <c r="BI26" s="3398"/>
      <c r="BJ26" s="3398"/>
      <c r="BK26" s="3398"/>
      <c r="BL26" s="3398"/>
      <c r="BM26" s="3356"/>
      <c r="BN26" s="3398"/>
      <c r="BO26" s="3398"/>
      <c r="BP26" s="3398"/>
      <c r="BQ26" s="3398"/>
      <c r="BR26" s="3398"/>
      <c r="BS26" s="3398"/>
      <c r="BT26" s="3398"/>
      <c r="BU26" s="3398"/>
      <c r="BV26" s="3439"/>
      <c r="BW26" s="3439"/>
      <c r="BX26" s="3402"/>
      <c r="BY26" s="3404"/>
      <c r="BZ26" s="3356"/>
      <c r="CA26" s="3406"/>
      <c r="CB26" s="543" t="s">
        <v>351</v>
      </c>
      <c r="CC26" s="544" t="s">
        <v>143</v>
      </c>
      <c r="CD26" s="544" t="s">
        <v>1592</v>
      </c>
      <c r="CE26" s="545" t="s">
        <v>425</v>
      </c>
      <c r="CF26" s="543" t="s">
        <v>351</v>
      </c>
      <c r="CG26" s="544" t="s">
        <v>143</v>
      </c>
      <c r="CH26" s="544" t="s">
        <v>1592</v>
      </c>
      <c r="CI26" s="545" t="s">
        <v>425</v>
      </c>
      <c r="CJ26" s="546" t="s">
        <v>351</v>
      </c>
      <c r="CK26" s="544" t="s">
        <v>143</v>
      </c>
      <c r="CL26" s="544" t="s">
        <v>1592</v>
      </c>
      <c r="CM26" s="545" t="s">
        <v>425</v>
      </c>
      <c r="CN26" s="547" t="s">
        <v>351</v>
      </c>
      <c r="CO26" s="547" t="s">
        <v>143</v>
      </c>
      <c r="CP26" s="547" t="s">
        <v>1592</v>
      </c>
      <c r="CQ26" s="545" t="s">
        <v>425</v>
      </c>
      <c r="CR26" s="3356"/>
      <c r="CS26" s="548" t="s">
        <v>74</v>
      </c>
      <c r="CT26" s="549" t="s">
        <v>109</v>
      </c>
      <c r="CU26" s="550" t="s">
        <v>131</v>
      </c>
      <c r="CV26" s="551" t="s">
        <v>238</v>
      </c>
      <c r="CW26" s="552" t="s">
        <v>74</v>
      </c>
      <c r="CX26" s="552" t="s">
        <v>109</v>
      </c>
      <c r="CY26" s="553" t="s">
        <v>131</v>
      </c>
      <c r="CZ26" s="549" t="s">
        <v>238</v>
      </c>
      <c r="DA26" s="548" t="s">
        <v>74</v>
      </c>
      <c r="DB26" s="549" t="s">
        <v>109</v>
      </c>
      <c r="DC26" s="550" t="s">
        <v>131</v>
      </c>
      <c r="DD26" s="551" t="s">
        <v>238</v>
      </c>
      <c r="DE26" s="548" t="s">
        <v>74</v>
      </c>
      <c r="DF26" s="549" t="s">
        <v>109</v>
      </c>
      <c r="DG26" s="550" t="s">
        <v>131</v>
      </c>
      <c r="DH26" s="549" t="s">
        <v>238</v>
      </c>
      <c r="DI26" s="1851" t="s">
        <v>346</v>
      </c>
      <c r="DJ26" s="2006" t="s">
        <v>346</v>
      </c>
      <c r="DK26" s="2006" t="s">
        <v>346</v>
      </c>
      <c r="DL26" s="2006" t="s">
        <v>346</v>
      </c>
      <c r="DM26" s="2006" t="s">
        <v>346</v>
      </c>
    </row>
    <row r="27" spans="1:117" ht="18" customHeight="1" x14ac:dyDescent="0.25">
      <c r="A27" s="512">
        <v>1</v>
      </c>
      <c r="B27" s="499"/>
      <c r="C27" s="497"/>
      <c r="D27" s="499"/>
      <c r="E27" s="498"/>
      <c r="F27" s="3410"/>
      <c r="G27" s="3411"/>
      <c r="H27" s="496"/>
      <c r="I27" s="499"/>
      <c r="J27" s="498"/>
      <c r="K27" s="499"/>
      <c r="L27" s="498"/>
      <c r="M27" s="499"/>
      <c r="N27" s="499"/>
      <c r="O27" s="513"/>
      <c r="P27" s="512">
        <v>1</v>
      </c>
      <c r="Q27" s="514"/>
      <c r="R27" s="515"/>
      <c r="S27" s="515"/>
      <c r="T27" s="516"/>
      <c r="U27" s="516"/>
      <c r="V27" s="516"/>
      <c r="W27" s="517"/>
      <c r="X27" s="516"/>
      <c r="Y27" s="518"/>
      <c r="Z27" s="516"/>
      <c r="AA27" s="517"/>
      <c r="AB27" s="516"/>
      <c r="AC27" s="516"/>
      <c r="AD27" s="512">
        <v>1</v>
      </c>
      <c r="AE27" s="516"/>
      <c r="AF27" s="518"/>
      <c r="AG27" s="516"/>
      <c r="AH27" s="517"/>
      <c r="AI27" s="516"/>
      <c r="AJ27" s="516"/>
      <c r="AK27" s="516"/>
      <c r="AL27" s="516"/>
      <c r="AM27" s="516"/>
      <c r="AN27" s="516"/>
      <c r="AO27" s="512">
        <v>1</v>
      </c>
      <c r="AP27" s="516"/>
      <c r="AQ27" s="516"/>
      <c r="AR27" s="2210"/>
      <c r="AS27" s="2210"/>
      <c r="AT27" s="516"/>
      <c r="AU27" s="524"/>
      <c r="AV27" s="524"/>
      <c r="AW27" s="524"/>
      <c r="AX27" s="524"/>
      <c r="AY27" s="524"/>
      <c r="AZ27" s="524"/>
      <c r="BA27" s="524"/>
      <c r="BB27" s="524"/>
      <c r="BC27" s="524"/>
      <c r="BD27" s="524"/>
      <c r="BE27" s="524"/>
      <c r="BF27" s="524"/>
      <c r="BG27" s="524"/>
      <c r="BH27" s="524"/>
      <c r="BI27" s="534"/>
      <c r="BJ27" s="533"/>
      <c r="BK27" s="139"/>
      <c r="BL27" s="533"/>
      <c r="BM27" s="512">
        <v>1</v>
      </c>
      <c r="BN27" s="534"/>
      <c r="BO27" s="534"/>
      <c r="BP27" s="534"/>
      <c r="BQ27" s="534"/>
      <c r="BR27" s="534"/>
      <c r="BS27" s="138"/>
      <c r="BT27" s="534"/>
      <c r="BU27" s="534"/>
      <c r="BV27" s="1099"/>
      <c r="BW27" s="1099"/>
      <c r="BX27" s="554"/>
      <c r="BY27" s="562"/>
      <c r="BZ27" s="512">
        <v>1</v>
      </c>
      <c r="CA27" s="1767"/>
      <c r="CB27" s="555"/>
      <c r="CC27" s="555"/>
      <c r="CD27" s="555"/>
      <c r="CE27" s="556"/>
      <c r="CF27" s="557"/>
      <c r="CG27" s="555"/>
      <c r="CH27" s="555"/>
      <c r="CI27" s="556"/>
      <c r="CJ27" s="558"/>
      <c r="CK27" s="555"/>
      <c r="CL27" s="555"/>
      <c r="CM27" s="556"/>
      <c r="CN27" s="559"/>
      <c r="CO27" s="559"/>
      <c r="CP27" s="559"/>
      <c r="CQ27" s="560"/>
      <c r="CR27" s="512">
        <v>1</v>
      </c>
      <c r="CS27" s="561"/>
      <c r="CT27" s="555"/>
      <c r="CU27" s="558"/>
      <c r="CV27" s="554"/>
      <c r="CW27" s="555"/>
      <c r="CX27" s="555"/>
      <c r="CY27" s="556"/>
      <c r="CZ27" s="562"/>
      <c r="DA27" s="571"/>
      <c r="DB27" s="571"/>
      <c r="DC27" s="571"/>
      <c r="DD27" s="571"/>
      <c r="DE27" s="566"/>
      <c r="DF27" s="555"/>
      <c r="DG27" s="558"/>
      <c r="DH27" s="562"/>
      <c r="DI27" s="562"/>
      <c r="DJ27" s="562"/>
      <c r="DK27" s="562"/>
      <c r="DL27" s="562"/>
      <c r="DM27" s="562"/>
    </row>
    <row r="28" spans="1:117" ht="18" customHeight="1" x14ac:dyDescent="0.25">
      <c r="A28" s="519">
        <v>2</v>
      </c>
      <c r="B28" s="521"/>
      <c r="C28" s="935"/>
      <c r="D28" s="521"/>
      <c r="E28" s="522"/>
      <c r="F28" s="3412"/>
      <c r="G28" s="3413"/>
      <c r="H28" s="520"/>
      <c r="I28" s="521"/>
      <c r="J28" s="522"/>
      <c r="K28" s="521"/>
      <c r="L28" s="522"/>
      <c r="M28" s="521"/>
      <c r="N28" s="521"/>
      <c r="O28" s="523"/>
      <c r="P28" s="519">
        <v>2</v>
      </c>
      <c r="Q28" s="3414"/>
      <c r="R28" s="3415"/>
      <c r="S28" s="1337"/>
      <c r="T28" s="524"/>
      <c r="U28" s="524"/>
      <c r="V28" s="524"/>
      <c r="W28" s="525"/>
      <c r="X28" s="524"/>
      <c r="Y28" s="526"/>
      <c r="Z28" s="524"/>
      <c r="AA28" s="525"/>
      <c r="AB28" s="524"/>
      <c r="AC28" s="524"/>
      <c r="AD28" s="519">
        <v>2</v>
      </c>
      <c r="AE28" s="524"/>
      <c r="AF28" s="526"/>
      <c r="AG28" s="524"/>
      <c r="AH28" s="525"/>
      <c r="AI28" s="524"/>
      <c r="AJ28" s="524"/>
      <c r="AK28" s="524"/>
      <c r="AL28" s="524"/>
      <c r="AM28" s="524"/>
      <c r="AN28" s="524"/>
      <c r="AO28" s="519">
        <v>2</v>
      </c>
      <c r="AP28" s="524"/>
      <c r="AQ28" s="524"/>
      <c r="AR28" s="2211"/>
      <c r="AS28" s="2211"/>
      <c r="AT28" s="524"/>
      <c r="AU28" s="527"/>
      <c r="AV28" s="527"/>
      <c r="AW28" s="527"/>
      <c r="AX28" s="527"/>
      <c r="AY28" s="527"/>
      <c r="AZ28" s="527"/>
      <c r="BA28" s="527"/>
      <c r="BB28" s="527"/>
      <c r="BC28" s="527"/>
      <c r="BD28" s="527"/>
      <c r="BE28" s="527"/>
      <c r="BF28" s="527"/>
      <c r="BG28" s="527"/>
      <c r="BH28" s="527"/>
      <c r="BI28" s="142"/>
      <c r="BJ28" s="143"/>
      <c r="BK28" s="535"/>
      <c r="BL28" s="143"/>
      <c r="BM28" s="519">
        <v>2</v>
      </c>
      <c r="BN28" s="142"/>
      <c r="BO28" s="142"/>
      <c r="BP28" s="142"/>
      <c r="BQ28" s="142"/>
      <c r="BR28" s="142"/>
      <c r="BS28" s="536"/>
      <c r="BT28" s="142"/>
      <c r="BU28" s="142"/>
      <c r="BV28" s="879"/>
      <c r="BW28" s="879"/>
      <c r="BX28" s="563"/>
      <c r="BY28" s="571"/>
      <c r="BZ28" s="519">
        <v>2</v>
      </c>
      <c r="CA28" s="1768"/>
      <c r="CB28" s="566"/>
      <c r="CC28" s="566"/>
      <c r="CD28" s="566"/>
      <c r="CE28" s="567"/>
      <c r="CF28" s="564"/>
      <c r="CG28" s="566"/>
      <c r="CH28" s="566"/>
      <c r="CI28" s="567"/>
      <c r="CJ28" s="565"/>
      <c r="CK28" s="566"/>
      <c r="CL28" s="566"/>
      <c r="CM28" s="567"/>
      <c r="CN28" s="568"/>
      <c r="CO28" s="568"/>
      <c r="CP28" s="568"/>
      <c r="CQ28" s="569"/>
      <c r="CR28" s="519">
        <v>2</v>
      </c>
      <c r="CS28" s="570"/>
      <c r="CT28" s="566"/>
      <c r="CU28" s="565"/>
      <c r="CV28" s="563"/>
      <c r="CW28" s="566"/>
      <c r="CX28" s="566"/>
      <c r="CY28" s="567"/>
      <c r="CZ28" s="571"/>
      <c r="DA28" s="571"/>
      <c r="DB28" s="571"/>
      <c r="DC28" s="571"/>
      <c r="DD28" s="571"/>
      <c r="DE28" s="566"/>
      <c r="DF28" s="566"/>
      <c r="DG28" s="565"/>
      <c r="DH28" s="571"/>
      <c r="DI28" s="571"/>
      <c r="DJ28" s="571"/>
      <c r="DK28" s="571"/>
      <c r="DL28" s="571"/>
      <c r="DM28" s="571"/>
    </row>
    <row r="29" spans="1:117" ht="18" customHeight="1" x14ac:dyDescent="0.25">
      <c r="A29" s="512">
        <v>3</v>
      </c>
      <c r="B29" s="499"/>
      <c r="C29" s="497"/>
      <c r="D29" s="499"/>
      <c r="E29" s="498"/>
      <c r="F29" s="3410"/>
      <c r="G29" s="3411"/>
      <c r="H29" s="496"/>
      <c r="I29" s="499"/>
      <c r="J29" s="498"/>
      <c r="K29" s="499"/>
      <c r="L29" s="498"/>
      <c r="M29" s="499"/>
      <c r="N29" s="499"/>
      <c r="O29" s="523"/>
      <c r="P29" s="512">
        <v>3</v>
      </c>
      <c r="Q29" s="3414"/>
      <c r="R29" s="3415"/>
      <c r="S29" s="2493"/>
      <c r="T29" s="527"/>
      <c r="U29" s="527"/>
      <c r="V29" s="527"/>
      <c r="W29" s="528"/>
      <c r="X29" s="527"/>
      <c r="Y29" s="529"/>
      <c r="Z29" s="527"/>
      <c r="AA29" s="528"/>
      <c r="AB29" s="527"/>
      <c r="AC29" s="527"/>
      <c r="AD29" s="512">
        <v>3</v>
      </c>
      <c r="AE29" s="527"/>
      <c r="AF29" s="529"/>
      <c r="AG29" s="527"/>
      <c r="AH29" s="528"/>
      <c r="AI29" s="527"/>
      <c r="AJ29" s="527"/>
      <c r="AK29" s="527"/>
      <c r="AL29" s="527"/>
      <c r="AM29" s="527"/>
      <c r="AN29" s="527"/>
      <c r="AO29" s="512">
        <v>3</v>
      </c>
      <c r="AP29" s="527"/>
      <c r="AQ29" s="527"/>
      <c r="AR29" s="2212"/>
      <c r="AS29" s="2212"/>
      <c r="AT29" s="527"/>
      <c r="AU29" s="527"/>
      <c r="AV29" s="527"/>
      <c r="AW29" s="527"/>
      <c r="AX29" s="527"/>
      <c r="AY29" s="527"/>
      <c r="AZ29" s="527"/>
      <c r="BA29" s="527"/>
      <c r="BB29" s="527"/>
      <c r="BC29" s="527"/>
      <c r="BD29" s="527"/>
      <c r="BE29" s="527"/>
      <c r="BF29" s="527"/>
      <c r="BG29" s="527"/>
      <c r="BH29" s="527"/>
      <c r="BI29" s="534"/>
      <c r="BJ29" s="143"/>
      <c r="BK29" s="139"/>
      <c r="BL29" s="143"/>
      <c r="BM29" s="512">
        <v>3</v>
      </c>
      <c r="BN29" s="534"/>
      <c r="BO29" s="534"/>
      <c r="BP29" s="534"/>
      <c r="BQ29" s="534"/>
      <c r="BR29" s="534"/>
      <c r="BS29" s="138"/>
      <c r="BT29" s="534"/>
      <c r="BU29" s="534"/>
      <c r="BV29" s="1099"/>
      <c r="BW29" s="1099"/>
      <c r="BX29" s="572"/>
      <c r="BY29" s="573"/>
      <c r="BZ29" s="512">
        <v>3</v>
      </c>
      <c r="CA29" s="1769"/>
      <c r="CB29" s="573"/>
      <c r="CC29" s="573"/>
      <c r="CD29" s="573"/>
      <c r="CE29" s="573"/>
      <c r="CF29" s="573"/>
      <c r="CG29" s="573"/>
      <c r="CH29" s="573"/>
      <c r="CI29" s="573"/>
      <c r="CJ29" s="573"/>
      <c r="CK29" s="573"/>
      <c r="CL29" s="573"/>
      <c r="CM29" s="573"/>
      <c r="CN29" s="573"/>
      <c r="CO29" s="573"/>
      <c r="CP29" s="573"/>
      <c r="CQ29" s="573"/>
      <c r="CR29" s="512">
        <v>3</v>
      </c>
      <c r="CS29" s="573"/>
      <c r="CT29" s="573"/>
      <c r="CU29" s="573"/>
      <c r="CV29" s="573"/>
      <c r="CW29" s="573"/>
      <c r="CX29" s="573"/>
      <c r="CY29" s="573"/>
      <c r="CZ29" s="573"/>
      <c r="DA29" s="140"/>
      <c r="DB29" s="140"/>
      <c r="DC29" s="140"/>
      <c r="DD29" s="140"/>
      <c r="DE29" s="140"/>
      <c r="DF29" s="573"/>
      <c r="DG29" s="573"/>
      <c r="DH29" s="573"/>
      <c r="DI29" s="573"/>
      <c r="DJ29" s="573"/>
      <c r="DK29" s="573"/>
      <c r="DL29" s="573"/>
      <c r="DM29" s="573"/>
    </row>
    <row r="30" spans="1:117" ht="18" customHeight="1" x14ac:dyDescent="0.25">
      <c r="A30" s="519">
        <v>4</v>
      </c>
      <c r="B30" s="521"/>
      <c r="C30" s="935"/>
      <c r="D30" s="521"/>
      <c r="E30" s="522"/>
      <c r="F30" s="3412"/>
      <c r="G30" s="3413"/>
      <c r="H30" s="520"/>
      <c r="I30" s="521"/>
      <c r="J30" s="522"/>
      <c r="K30" s="521"/>
      <c r="L30" s="522"/>
      <c r="M30" s="521"/>
      <c r="N30" s="521"/>
      <c r="O30" s="523"/>
      <c r="P30" s="519">
        <v>4</v>
      </c>
      <c r="Q30" s="3414"/>
      <c r="R30" s="3415"/>
      <c r="S30" s="1337"/>
      <c r="T30" s="524"/>
      <c r="U30" s="524"/>
      <c r="V30" s="524"/>
      <c r="W30" s="525"/>
      <c r="X30" s="524"/>
      <c r="Y30" s="526"/>
      <c r="Z30" s="524"/>
      <c r="AA30" s="525"/>
      <c r="AB30" s="524"/>
      <c r="AC30" s="524"/>
      <c r="AD30" s="519">
        <v>4</v>
      </c>
      <c r="AE30" s="524"/>
      <c r="AF30" s="526"/>
      <c r="AG30" s="524"/>
      <c r="AH30" s="525"/>
      <c r="AI30" s="524"/>
      <c r="AJ30" s="524"/>
      <c r="AK30" s="524"/>
      <c r="AL30" s="524"/>
      <c r="AM30" s="524"/>
      <c r="AN30" s="524"/>
      <c r="AO30" s="519">
        <v>4</v>
      </c>
      <c r="AP30" s="524"/>
      <c r="AQ30" s="524"/>
      <c r="AR30" s="2211"/>
      <c r="AS30" s="2211"/>
      <c r="AT30" s="524"/>
      <c r="AU30" s="527"/>
      <c r="AV30" s="527"/>
      <c r="AW30" s="527"/>
      <c r="AX30" s="527"/>
      <c r="AY30" s="527"/>
      <c r="AZ30" s="527"/>
      <c r="BA30" s="527"/>
      <c r="BB30" s="527"/>
      <c r="BC30" s="527"/>
      <c r="BD30" s="527"/>
      <c r="BE30" s="527"/>
      <c r="BF30" s="527"/>
      <c r="BG30" s="527"/>
      <c r="BH30" s="527"/>
      <c r="BI30" s="142"/>
      <c r="BJ30" s="143"/>
      <c r="BK30" s="535"/>
      <c r="BL30" s="143"/>
      <c r="BM30" s="519">
        <v>4</v>
      </c>
      <c r="BN30" s="142"/>
      <c r="BO30" s="142"/>
      <c r="BP30" s="142"/>
      <c r="BQ30" s="142"/>
      <c r="BR30" s="142"/>
      <c r="BS30" s="536"/>
      <c r="BT30" s="142"/>
      <c r="BU30" s="142"/>
      <c r="BV30" s="879"/>
      <c r="BW30" s="879"/>
      <c r="BX30" s="574"/>
      <c r="BY30" s="140"/>
      <c r="BZ30" s="519">
        <v>4</v>
      </c>
      <c r="CA30" s="1770"/>
      <c r="CB30" s="140"/>
      <c r="CC30" s="140"/>
      <c r="CD30" s="140"/>
      <c r="CE30" s="140"/>
      <c r="CF30" s="140"/>
      <c r="CG30" s="140"/>
      <c r="CH30" s="140"/>
      <c r="CI30" s="140"/>
      <c r="CJ30" s="140"/>
      <c r="CK30" s="140"/>
      <c r="CL30" s="140"/>
      <c r="CM30" s="140"/>
      <c r="CN30" s="140"/>
      <c r="CO30" s="140"/>
      <c r="CP30" s="140"/>
      <c r="CQ30" s="140"/>
      <c r="CR30" s="519">
        <v>4</v>
      </c>
      <c r="CS30" s="140"/>
      <c r="CT30" s="140"/>
      <c r="CU30" s="140"/>
      <c r="CV30" s="140"/>
      <c r="CW30" s="140"/>
      <c r="CX30" s="140"/>
      <c r="CY30" s="140"/>
      <c r="CZ30" s="140"/>
      <c r="DA30" s="140"/>
      <c r="DB30" s="140"/>
      <c r="DC30" s="140"/>
      <c r="DD30" s="140"/>
      <c r="DE30" s="140"/>
      <c r="DF30" s="140"/>
      <c r="DG30" s="140"/>
      <c r="DH30" s="140"/>
      <c r="DI30" s="140"/>
      <c r="DJ30" s="140"/>
      <c r="DK30" s="140"/>
      <c r="DL30" s="140"/>
      <c r="DM30" s="140"/>
    </row>
    <row r="31" spans="1:117" ht="18" customHeight="1" x14ac:dyDescent="0.25">
      <c r="A31" s="512">
        <v>5</v>
      </c>
      <c r="B31" s="499"/>
      <c r="C31" s="497"/>
      <c r="D31" s="499"/>
      <c r="E31" s="498"/>
      <c r="F31" s="3410"/>
      <c r="G31" s="3411"/>
      <c r="H31" s="496"/>
      <c r="I31" s="499"/>
      <c r="J31" s="498"/>
      <c r="K31" s="499"/>
      <c r="L31" s="498"/>
      <c r="M31" s="499"/>
      <c r="N31" s="499"/>
      <c r="O31" s="523"/>
      <c r="P31" s="512">
        <v>5</v>
      </c>
      <c r="Q31" s="3414"/>
      <c r="R31" s="3415"/>
      <c r="S31" s="2493"/>
      <c r="T31" s="527"/>
      <c r="U31" s="527"/>
      <c r="V31" s="527"/>
      <c r="W31" s="528"/>
      <c r="X31" s="527"/>
      <c r="Y31" s="529"/>
      <c r="Z31" s="527"/>
      <c r="AA31" s="528"/>
      <c r="AB31" s="527"/>
      <c r="AC31" s="527"/>
      <c r="AD31" s="512">
        <v>5</v>
      </c>
      <c r="AE31" s="527"/>
      <c r="AF31" s="529"/>
      <c r="AG31" s="527"/>
      <c r="AH31" s="528"/>
      <c r="AI31" s="527"/>
      <c r="AJ31" s="527"/>
      <c r="AK31" s="527"/>
      <c r="AL31" s="527"/>
      <c r="AM31" s="527"/>
      <c r="AN31" s="527"/>
      <c r="AO31" s="512">
        <v>5</v>
      </c>
      <c r="AP31" s="527"/>
      <c r="AQ31" s="527"/>
      <c r="AR31" s="2212"/>
      <c r="AS31" s="2212"/>
      <c r="AT31" s="527"/>
      <c r="AU31" s="527"/>
      <c r="AV31" s="527"/>
      <c r="AW31" s="527"/>
      <c r="AX31" s="527"/>
      <c r="AY31" s="527"/>
      <c r="AZ31" s="527"/>
      <c r="BA31" s="527"/>
      <c r="BB31" s="527"/>
      <c r="BC31" s="527"/>
      <c r="BD31" s="527"/>
      <c r="BE31" s="527"/>
      <c r="BF31" s="527"/>
      <c r="BG31" s="527"/>
      <c r="BH31" s="527"/>
      <c r="BI31" s="142"/>
      <c r="BJ31" s="143"/>
      <c r="BK31" s="535"/>
      <c r="BL31" s="143"/>
      <c r="BM31" s="512">
        <v>5</v>
      </c>
      <c r="BN31" s="142"/>
      <c r="BO31" s="142"/>
      <c r="BP31" s="142"/>
      <c r="BQ31" s="142"/>
      <c r="BR31" s="142"/>
      <c r="BS31" s="536"/>
      <c r="BT31" s="142"/>
      <c r="BU31" s="142"/>
      <c r="BV31" s="879"/>
      <c r="BW31" s="879"/>
      <c r="BX31" s="574"/>
      <c r="BY31" s="140"/>
      <c r="BZ31" s="512">
        <v>5</v>
      </c>
      <c r="CA31" s="1770"/>
      <c r="CB31" s="140"/>
      <c r="CC31" s="140"/>
      <c r="CD31" s="140"/>
      <c r="CE31" s="140"/>
      <c r="CF31" s="140"/>
      <c r="CG31" s="140"/>
      <c r="CH31" s="140"/>
      <c r="CI31" s="140"/>
      <c r="CJ31" s="140"/>
      <c r="CK31" s="140"/>
      <c r="CL31" s="140"/>
      <c r="CM31" s="140"/>
      <c r="CN31" s="140"/>
      <c r="CO31" s="140"/>
      <c r="CP31" s="140"/>
      <c r="CQ31" s="140"/>
      <c r="CR31" s="512">
        <v>5</v>
      </c>
      <c r="CS31" s="140"/>
      <c r="CT31" s="140"/>
      <c r="CU31" s="140"/>
      <c r="CV31" s="140"/>
      <c r="CW31" s="140"/>
      <c r="CX31" s="140"/>
      <c r="CY31" s="140"/>
      <c r="CZ31" s="140"/>
      <c r="DA31" s="140"/>
      <c r="DB31" s="140"/>
      <c r="DC31" s="140"/>
      <c r="DD31" s="140"/>
      <c r="DE31" s="140"/>
      <c r="DF31" s="140"/>
      <c r="DG31" s="140"/>
      <c r="DH31" s="140"/>
      <c r="DI31" s="140"/>
      <c r="DJ31" s="140"/>
      <c r="DK31" s="140"/>
      <c r="DL31" s="140"/>
      <c r="DM31" s="140"/>
    </row>
    <row r="32" spans="1:117" ht="18" customHeight="1" x14ac:dyDescent="0.25">
      <c r="A32" s="519">
        <v>6</v>
      </c>
      <c r="B32" s="521"/>
      <c r="C32" s="935"/>
      <c r="D32" s="521"/>
      <c r="E32" s="522"/>
      <c r="F32" s="3412"/>
      <c r="G32" s="3413"/>
      <c r="H32" s="520"/>
      <c r="I32" s="521"/>
      <c r="J32" s="522"/>
      <c r="K32" s="521"/>
      <c r="L32" s="522"/>
      <c r="M32" s="521"/>
      <c r="N32" s="521"/>
      <c r="O32" s="527"/>
      <c r="P32" s="519">
        <v>6</v>
      </c>
      <c r="Q32" s="530"/>
      <c r="R32" s="529"/>
      <c r="S32" s="529"/>
      <c r="T32" s="527"/>
      <c r="U32" s="527"/>
      <c r="V32" s="527"/>
      <c r="W32" s="527"/>
      <c r="X32" s="527"/>
      <c r="Y32" s="527"/>
      <c r="Z32" s="527"/>
      <c r="AA32" s="527"/>
      <c r="AB32" s="527"/>
      <c r="AC32" s="527"/>
      <c r="AD32" s="519">
        <v>6</v>
      </c>
      <c r="AE32" s="527"/>
      <c r="AF32" s="527"/>
      <c r="AG32" s="527"/>
      <c r="AH32" s="527"/>
      <c r="AI32" s="527"/>
      <c r="AJ32" s="527"/>
      <c r="AK32" s="527"/>
      <c r="AL32" s="527"/>
      <c r="AM32" s="527"/>
      <c r="AN32" s="527"/>
      <c r="AO32" s="519">
        <v>6</v>
      </c>
      <c r="AP32" s="527"/>
      <c r="AQ32" s="527"/>
      <c r="AR32" s="2212"/>
      <c r="AS32" s="2212"/>
      <c r="AT32" s="527"/>
      <c r="AU32" s="527"/>
      <c r="AV32" s="527"/>
      <c r="AW32" s="527"/>
      <c r="AX32" s="527"/>
      <c r="AY32" s="527"/>
      <c r="AZ32" s="527"/>
      <c r="BA32" s="527"/>
      <c r="BB32" s="527"/>
      <c r="BC32" s="527"/>
      <c r="BD32" s="527"/>
      <c r="BE32" s="527"/>
      <c r="BF32" s="527"/>
      <c r="BG32" s="527"/>
      <c r="BH32" s="527"/>
      <c r="BI32" s="142"/>
      <c r="BJ32" s="143"/>
      <c r="BK32" s="535"/>
      <c r="BL32" s="143"/>
      <c r="BM32" s="519">
        <v>6</v>
      </c>
      <c r="BN32" s="142"/>
      <c r="BO32" s="142"/>
      <c r="BP32" s="142"/>
      <c r="BQ32" s="142"/>
      <c r="BR32" s="142"/>
      <c r="BS32" s="536"/>
      <c r="BT32" s="142"/>
      <c r="BU32" s="142"/>
      <c r="BV32" s="879"/>
      <c r="BW32" s="879"/>
      <c r="BX32" s="574"/>
      <c r="BY32" s="140"/>
      <c r="BZ32" s="519">
        <v>6</v>
      </c>
      <c r="CA32" s="1770"/>
      <c r="CB32" s="140"/>
      <c r="CC32" s="140"/>
      <c r="CD32" s="140"/>
      <c r="CE32" s="140"/>
      <c r="CF32" s="140"/>
      <c r="CG32" s="140"/>
      <c r="CH32" s="140"/>
      <c r="CI32" s="140"/>
      <c r="CJ32" s="140"/>
      <c r="CK32" s="140"/>
      <c r="CL32" s="140"/>
      <c r="CM32" s="140"/>
      <c r="CN32" s="140"/>
      <c r="CO32" s="140"/>
      <c r="CP32" s="140"/>
      <c r="CQ32" s="140"/>
      <c r="CR32" s="519">
        <v>6</v>
      </c>
      <c r="CS32" s="140"/>
      <c r="CT32" s="140"/>
      <c r="CU32" s="140"/>
      <c r="CV32" s="140"/>
      <c r="CW32" s="140"/>
      <c r="CX32" s="140"/>
      <c r="CY32" s="140"/>
      <c r="CZ32" s="140"/>
      <c r="DA32" s="140"/>
      <c r="DB32" s="140"/>
      <c r="DC32" s="140"/>
      <c r="DD32" s="140"/>
      <c r="DE32" s="140"/>
      <c r="DF32" s="140"/>
      <c r="DG32" s="140"/>
      <c r="DH32" s="140"/>
      <c r="DI32" s="140"/>
      <c r="DJ32" s="140"/>
      <c r="DK32" s="140"/>
      <c r="DL32" s="140"/>
      <c r="DM32" s="140"/>
    </row>
    <row r="33" spans="1:117" ht="18" customHeight="1" x14ac:dyDescent="0.25">
      <c r="A33" s="512">
        <v>7</v>
      </c>
      <c r="B33" s="499"/>
      <c r="C33" s="497"/>
      <c r="D33" s="499"/>
      <c r="E33" s="498"/>
      <c r="F33" s="3410"/>
      <c r="G33" s="3411"/>
      <c r="H33" s="496"/>
      <c r="I33" s="499"/>
      <c r="J33" s="498"/>
      <c r="K33" s="499"/>
      <c r="L33" s="498"/>
      <c r="M33" s="499"/>
      <c r="N33" s="499"/>
      <c r="O33" s="523"/>
      <c r="P33" s="512">
        <v>7</v>
      </c>
      <c r="Q33" s="3414"/>
      <c r="R33" s="3415"/>
      <c r="S33" s="2493"/>
      <c r="T33" s="527"/>
      <c r="U33" s="527"/>
      <c r="V33" s="527"/>
      <c r="W33" s="528"/>
      <c r="X33" s="527"/>
      <c r="Y33" s="529"/>
      <c r="Z33" s="527"/>
      <c r="AA33" s="528"/>
      <c r="AB33" s="527"/>
      <c r="AC33" s="527"/>
      <c r="AD33" s="512">
        <v>7</v>
      </c>
      <c r="AE33" s="527"/>
      <c r="AF33" s="529"/>
      <c r="AG33" s="527"/>
      <c r="AH33" s="528"/>
      <c r="AI33" s="527"/>
      <c r="AJ33" s="527"/>
      <c r="AK33" s="527"/>
      <c r="AL33" s="527"/>
      <c r="AM33" s="527"/>
      <c r="AN33" s="527"/>
      <c r="AO33" s="512">
        <v>7</v>
      </c>
      <c r="AP33" s="527"/>
      <c r="AQ33" s="527"/>
      <c r="AR33" s="2212"/>
      <c r="AS33" s="2212"/>
      <c r="AT33" s="527"/>
      <c r="AU33" s="527"/>
      <c r="AV33" s="527"/>
      <c r="AW33" s="527"/>
      <c r="AX33" s="527"/>
      <c r="AY33" s="527"/>
      <c r="AZ33" s="527"/>
      <c r="BA33" s="527"/>
      <c r="BB33" s="527"/>
      <c r="BC33" s="527"/>
      <c r="BD33" s="527"/>
      <c r="BE33" s="527"/>
      <c r="BF33" s="527"/>
      <c r="BG33" s="527"/>
      <c r="BH33" s="527"/>
      <c r="BI33" s="534"/>
      <c r="BJ33" s="143"/>
      <c r="BK33" s="139"/>
      <c r="BL33" s="143"/>
      <c r="BM33" s="512">
        <v>7</v>
      </c>
      <c r="BN33" s="534"/>
      <c r="BO33" s="534"/>
      <c r="BP33" s="534"/>
      <c r="BQ33" s="534"/>
      <c r="BR33" s="534"/>
      <c r="BS33" s="138"/>
      <c r="BT33" s="534"/>
      <c r="BU33" s="534"/>
      <c r="BV33" s="1099"/>
      <c r="BW33" s="1099"/>
      <c r="BX33" s="554"/>
      <c r="BY33" s="562"/>
      <c r="BZ33" s="512">
        <v>7</v>
      </c>
      <c r="CA33" s="1767"/>
      <c r="CB33" s="555"/>
      <c r="CC33" s="555"/>
      <c r="CD33" s="555"/>
      <c r="CE33" s="556"/>
      <c r="CF33" s="557"/>
      <c r="CG33" s="555"/>
      <c r="CH33" s="555"/>
      <c r="CI33" s="556"/>
      <c r="CJ33" s="558"/>
      <c r="CK33" s="555"/>
      <c r="CL33" s="555"/>
      <c r="CM33" s="556"/>
      <c r="CN33" s="559"/>
      <c r="CO33" s="559"/>
      <c r="CP33" s="559"/>
      <c r="CQ33" s="560"/>
      <c r="CR33" s="512">
        <v>7</v>
      </c>
      <c r="CS33" s="561"/>
      <c r="CT33" s="555"/>
      <c r="CU33" s="558"/>
      <c r="CV33" s="554"/>
      <c r="CW33" s="555"/>
      <c r="CX33" s="555"/>
      <c r="CY33" s="556"/>
      <c r="CZ33" s="562"/>
      <c r="DA33" s="571"/>
      <c r="DB33" s="571"/>
      <c r="DC33" s="571"/>
      <c r="DD33" s="571"/>
      <c r="DE33" s="566"/>
      <c r="DF33" s="555"/>
      <c r="DG33" s="558"/>
      <c r="DH33" s="562"/>
      <c r="DI33" s="562"/>
      <c r="DJ33" s="562"/>
      <c r="DK33" s="562"/>
      <c r="DL33" s="562"/>
      <c r="DM33" s="562"/>
    </row>
    <row r="34" spans="1:117" ht="18" customHeight="1" x14ac:dyDescent="0.25">
      <c r="A34" s="519">
        <v>8</v>
      </c>
      <c r="B34" s="521"/>
      <c r="C34" s="935"/>
      <c r="D34" s="521"/>
      <c r="E34" s="522"/>
      <c r="F34" s="3412"/>
      <c r="G34" s="3413"/>
      <c r="H34" s="520"/>
      <c r="I34" s="521"/>
      <c r="J34" s="522"/>
      <c r="K34" s="521"/>
      <c r="L34" s="522"/>
      <c r="M34" s="521"/>
      <c r="N34" s="521"/>
      <c r="O34" s="523"/>
      <c r="P34" s="519">
        <v>8</v>
      </c>
      <c r="Q34" s="3414"/>
      <c r="R34" s="3415"/>
      <c r="S34" s="1337"/>
      <c r="T34" s="524"/>
      <c r="U34" s="524"/>
      <c r="V34" s="524"/>
      <c r="W34" s="525"/>
      <c r="X34" s="524"/>
      <c r="Y34" s="526"/>
      <c r="Z34" s="524"/>
      <c r="AA34" s="525"/>
      <c r="AB34" s="524"/>
      <c r="AC34" s="524"/>
      <c r="AD34" s="519">
        <v>8</v>
      </c>
      <c r="AE34" s="524"/>
      <c r="AF34" s="526"/>
      <c r="AG34" s="524"/>
      <c r="AH34" s="525"/>
      <c r="AI34" s="524"/>
      <c r="AJ34" s="524"/>
      <c r="AK34" s="524"/>
      <c r="AL34" s="524"/>
      <c r="AM34" s="524"/>
      <c r="AN34" s="524"/>
      <c r="AO34" s="519">
        <v>8</v>
      </c>
      <c r="AP34" s="524"/>
      <c r="AQ34" s="524"/>
      <c r="AR34" s="2211"/>
      <c r="AS34" s="2211"/>
      <c r="AT34" s="524"/>
      <c r="AU34" s="527"/>
      <c r="AV34" s="527"/>
      <c r="AW34" s="527"/>
      <c r="AX34" s="527"/>
      <c r="AY34" s="527"/>
      <c r="AZ34" s="527"/>
      <c r="BA34" s="527"/>
      <c r="BB34" s="527"/>
      <c r="BC34" s="527"/>
      <c r="BD34" s="527"/>
      <c r="BE34" s="527"/>
      <c r="BF34" s="527"/>
      <c r="BG34" s="527"/>
      <c r="BH34" s="527"/>
      <c r="BI34" s="142"/>
      <c r="BJ34" s="143"/>
      <c r="BK34" s="535"/>
      <c r="BL34" s="143"/>
      <c r="BM34" s="519">
        <v>8</v>
      </c>
      <c r="BN34" s="142"/>
      <c r="BO34" s="142"/>
      <c r="BP34" s="142"/>
      <c r="BQ34" s="142"/>
      <c r="BR34" s="142"/>
      <c r="BS34" s="536"/>
      <c r="BT34" s="142"/>
      <c r="BU34" s="142"/>
      <c r="BV34" s="879"/>
      <c r="BW34" s="879"/>
      <c r="BX34" s="563"/>
      <c r="BY34" s="571"/>
      <c r="BZ34" s="519">
        <v>8</v>
      </c>
      <c r="CA34" s="1768"/>
      <c r="CB34" s="566"/>
      <c r="CC34" s="566"/>
      <c r="CD34" s="566"/>
      <c r="CE34" s="567"/>
      <c r="CF34" s="564"/>
      <c r="CG34" s="566"/>
      <c r="CH34" s="566"/>
      <c r="CI34" s="567"/>
      <c r="CJ34" s="565"/>
      <c r="CK34" s="566"/>
      <c r="CL34" s="566"/>
      <c r="CM34" s="567"/>
      <c r="CN34" s="568"/>
      <c r="CO34" s="568"/>
      <c r="CP34" s="568"/>
      <c r="CQ34" s="569"/>
      <c r="CR34" s="519">
        <v>8</v>
      </c>
      <c r="CS34" s="570"/>
      <c r="CT34" s="566"/>
      <c r="CU34" s="565"/>
      <c r="CV34" s="563"/>
      <c r="CW34" s="566"/>
      <c r="CX34" s="566"/>
      <c r="CY34" s="567"/>
      <c r="CZ34" s="571"/>
      <c r="DA34" s="571"/>
      <c r="DB34" s="571"/>
      <c r="DC34" s="571"/>
      <c r="DD34" s="571"/>
      <c r="DE34" s="566"/>
      <c r="DF34" s="566"/>
      <c r="DG34" s="565"/>
      <c r="DH34" s="571"/>
      <c r="DI34" s="571"/>
      <c r="DJ34" s="571"/>
      <c r="DK34" s="571"/>
      <c r="DL34" s="571"/>
      <c r="DM34" s="571"/>
    </row>
    <row r="35" spans="1:117" ht="18" customHeight="1" x14ac:dyDescent="0.25">
      <c r="A35" s="512">
        <v>9</v>
      </c>
      <c r="B35" s="499"/>
      <c r="C35" s="497"/>
      <c r="D35" s="499"/>
      <c r="E35" s="498"/>
      <c r="F35" s="3410"/>
      <c r="G35" s="3411"/>
      <c r="H35" s="496"/>
      <c r="I35" s="499"/>
      <c r="J35" s="498"/>
      <c r="K35" s="499"/>
      <c r="L35" s="498"/>
      <c r="M35" s="499"/>
      <c r="N35" s="499"/>
      <c r="O35" s="523"/>
      <c r="P35" s="512">
        <v>9</v>
      </c>
      <c r="Q35" s="3414"/>
      <c r="R35" s="3415"/>
      <c r="S35" s="2493"/>
      <c r="T35" s="527"/>
      <c r="U35" s="527"/>
      <c r="V35" s="527"/>
      <c r="W35" s="528"/>
      <c r="X35" s="527"/>
      <c r="Y35" s="529"/>
      <c r="Z35" s="527"/>
      <c r="AA35" s="528"/>
      <c r="AB35" s="527"/>
      <c r="AC35" s="527"/>
      <c r="AD35" s="512">
        <v>9</v>
      </c>
      <c r="AE35" s="527"/>
      <c r="AF35" s="529"/>
      <c r="AG35" s="527"/>
      <c r="AH35" s="528"/>
      <c r="AI35" s="527"/>
      <c r="AJ35" s="527"/>
      <c r="AK35" s="527"/>
      <c r="AL35" s="527"/>
      <c r="AM35" s="527"/>
      <c r="AN35" s="527"/>
      <c r="AO35" s="512">
        <v>9</v>
      </c>
      <c r="AP35" s="527"/>
      <c r="AQ35" s="527"/>
      <c r="AR35" s="2212"/>
      <c r="AS35" s="2212"/>
      <c r="AT35" s="527"/>
      <c r="AU35" s="527"/>
      <c r="AV35" s="527"/>
      <c r="AW35" s="527"/>
      <c r="AX35" s="527"/>
      <c r="AY35" s="527"/>
      <c r="AZ35" s="527"/>
      <c r="BA35" s="527"/>
      <c r="BB35" s="527"/>
      <c r="BC35" s="527"/>
      <c r="BD35" s="527"/>
      <c r="BE35" s="527"/>
      <c r="BF35" s="527"/>
      <c r="BG35" s="527"/>
      <c r="BH35" s="527"/>
      <c r="BI35" s="534"/>
      <c r="BJ35" s="143"/>
      <c r="BK35" s="139"/>
      <c r="BL35" s="143"/>
      <c r="BM35" s="512">
        <v>9</v>
      </c>
      <c r="BN35" s="534"/>
      <c r="BO35" s="534"/>
      <c r="BP35" s="534"/>
      <c r="BQ35" s="534"/>
      <c r="BR35" s="534"/>
      <c r="BS35" s="138"/>
      <c r="BT35" s="534"/>
      <c r="BU35" s="534"/>
      <c r="BV35" s="1099"/>
      <c r="BW35" s="1099"/>
      <c r="BX35" s="554"/>
      <c r="BY35" s="562"/>
      <c r="BZ35" s="512">
        <v>9</v>
      </c>
      <c r="CA35" s="1768"/>
      <c r="CB35" s="555"/>
      <c r="CC35" s="555"/>
      <c r="CD35" s="555"/>
      <c r="CE35" s="556"/>
      <c r="CF35" s="557"/>
      <c r="CG35" s="555"/>
      <c r="CH35" s="555"/>
      <c r="CI35" s="556"/>
      <c r="CJ35" s="558"/>
      <c r="CK35" s="555"/>
      <c r="CL35" s="555"/>
      <c r="CM35" s="556"/>
      <c r="CN35" s="559"/>
      <c r="CO35" s="559"/>
      <c r="CP35" s="559"/>
      <c r="CQ35" s="560"/>
      <c r="CR35" s="512">
        <v>9</v>
      </c>
      <c r="CS35" s="561"/>
      <c r="CT35" s="555"/>
      <c r="CU35" s="558"/>
      <c r="CV35" s="554"/>
      <c r="CW35" s="555"/>
      <c r="CX35" s="555"/>
      <c r="CY35" s="556"/>
      <c r="CZ35" s="562"/>
      <c r="DA35" s="571"/>
      <c r="DB35" s="571"/>
      <c r="DC35" s="571"/>
      <c r="DD35" s="571"/>
      <c r="DE35" s="566"/>
      <c r="DF35" s="555"/>
      <c r="DG35" s="558"/>
      <c r="DH35" s="562"/>
      <c r="DI35" s="562"/>
      <c r="DJ35" s="562"/>
      <c r="DK35" s="562"/>
      <c r="DL35" s="562"/>
      <c r="DM35" s="562"/>
    </row>
    <row r="36" spans="1:117" ht="18" customHeight="1" x14ac:dyDescent="0.25">
      <c r="A36" s="519">
        <v>10</v>
      </c>
      <c r="B36" s="521"/>
      <c r="C36" s="935"/>
      <c r="D36" s="521"/>
      <c r="E36" s="522"/>
      <c r="F36" s="3412"/>
      <c r="G36" s="3413"/>
      <c r="H36" s="520"/>
      <c r="I36" s="521"/>
      <c r="J36" s="522"/>
      <c r="K36" s="521"/>
      <c r="L36" s="522"/>
      <c r="M36" s="521"/>
      <c r="N36" s="521"/>
      <c r="O36" s="527"/>
      <c r="P36" s="519">
        <v>10</v>
      </c>
      <c r="Q36" s="530"/>
      <c r="R36" s="529"/>
      <c r="S36" s="529"/>
      <c r="T36" s="527"/>
      <c r="U36" s="527"/>
      <c r="V36" s="527"/>
      <c r="W36" s="527"/>
      <c r="X36" s="527"/>
      <c r="Y36" s="527"/>
      <c r="Z36" s="527"/>
      <c r="AA36" s="527"/>
      <c r="AB36" s="527"/>
      <c r="AC36" s="527"/>
      <c r="AD36" s="519">
        <v>10</v>
      </c>
      <c r="AE36" s="527"/>
      <c r="AF36" s="527"/>
      <c r="AG36" s="527"/>
      <c r="AH36" s="527"/>
      <c r="AI36" s="527"/>
      <c r="AJ36" s="527"/>
      <c r="AK36" s="527"/>
      <c r="AL36" s="527"/>
      <c r="AM36" s="527"/>
      <c r="AN36" s="527"/>
      <c r="AO36" s="519">
        <v>10</v>
      </c>
      <c r="AP36" s="527"/>
      <c r="AQ36" s="527"/>
      <c r="AR36" s="2212"/>
      <c r="AS36" s="2212"/>
      <c r="AT36" s="527"/>
      <c r="AU36" s="516"/>
      <c r="AV36" s="516"/>
      <c r="AW36" s="516"/>
      <c r="AX36" s="516"/>
      <c r="AY36" s="516"/>
      <c r="AZ36" s="516"/>
      <c r="BA36" s="516"/>
      <c r="BB36" s="516"/>
      <c r="BC36" s="516"/>
      <c r="BD36" s="516"/>
      <c r="BE36" s="516"/>
      <c r="BF36" s="516"/>
      <c r="BG36" s="516"/>
      <c r="BH36" s="516"/>
      <c r="BI36" s="142"/>
      <c r="BJ36" s="143"/>
      <c r="BK36" s="535"/>
      <c r="BL36" s="143"/>
      <c r="BM36" s="519">
        <v>10</v>
      </c>
      <c r="BN36" s="142"/>
      <c r="BO36" s="142"/>
      <c r="BP36" s="142"/>
      <c r="BQ36" s="142"/>
      <c r="BR36" s="142"/>
      <c r="BS36" s="536"/>
      <c r="BT36" s="142"/>
      <c r="BU36" s="142"/>
      <c r="BV36" s="879"/>
      <c r="BW36" s="879"/>
      <c r="BX36" s="563"/>
      <c r="BY36" s="571"/>
      <c r="BZ36" s="519">
        <v>10</v>
      </c>
      <c r="CA36" s="1768"/>
      <c r="CB36" s="566"/>
      <c r="CC36" s="566"/>
      <c r="CD36" s="566"/>
      <c r="CE36" s="567"/>
      <c r="CF36" s="564"/>
      <c r="CG36" s="566"/>
      <c r="CH36" s="566"/>
      <c r="CI36" s="567"/>
      <c r="CJ36" s="565"/>
      <c r="CK36" s="566"/>
      <c r="CL36" s="566"/>
      <c r="CM36" s="567"/>
      <c r="CN36" s="568"/>
      <c r="CO36" s="568"/>
      <c r="CP36" s="568"/>
      <c r="CQ36" s="569"/>
      <c r="CR36" s="519">
        <v>10</v>
      </c>
      <c r="CS36" s="570"/>
      <c r="CT36" s="566"/>
      <c r="CU36" s="565"/>
      <c r="CV36" s="563"/>
      <c r="CW36" s="566"/>
      <c r="CX36" s="566"/>
      <c r="CY36" s="567"/>
      <c r="CZ36" s="571"/>
      <c r="DA36" s="571"/>
      <c r="DB36" s="571"/>
      <c r="DC36" s="571"/>
      <c r="DD36" s="571"/>
      <c r="DE36" s="566"/>
      <c r="DF36" s="566"/>
      <c r="DG36" s="565"/>
      <c r="DH36" s="571"/>
      <c r="DI36" s="571"/>
      <c r="DJ36" s="571"/>
      <c r="DK36" s="571"/>
      <c r="DL36" s="571"/>
      <c r="DM36" s="571"/>
    </row>
  </sheetData>
  <mergeCells count="219">
    <mergeCell ref="B7:B15"/>
    <mergeCell ref="AQ11:AQ24"/>
    <mergeCell ref="AQ25:AQ26"/>
    <mergeCell ref="AR11:AR24"/>
    <mergeCell ref="AR25:AR26"/>
    <mergeCell ref="DJ10:DJ25"/>
    <mergeCell ref="DK10:DK25"/>
    <mergeCell ref="DL10:DL25"/>
    <mergeCell ref="DM10:DM25"/>
    <mergeCell ref="DJ7:DM8"/>
    <mergeCell ref="BV25:BV26"/>
    <mergeCell ref="BV19:BV20"/>
    <mergeCell ref="CA11:CA24"/>
    <mergeCell ref="CN25:CQ25"/>
    <mergeCell ref="CS25:CV25"/>
    <mergeCell ref="BV21:BV22"/>
    <mergeCell ref="BW7:BW12"/>
    <mergeCell ref="BW25:BW26"/>
    <mergeCell ref="BV16:BV17"/>
    <mergeCell ref="DI7:DI18"/>
    <mergeCell ref="CW25:CZ25"/>
    <mergeCell ref="DA25:DD25"/>
    <mergeCell ref="DE25:DH25"/>
    <mergeCell ref="F26:G26"/>
    <mergeCell ref="F36:G36"/>
    <mergeCell ref="F31:G31"/>
    <mergeCell ref="Q31:R31"/>
    <mergeCell ref="F32:G32"/>
    <mergeCell ref="F33:G33"/>
    <mergeCell ref="Q33:R33"/>
    <mergeCell ref="F34:G34"/>
    <mergeCell ref="Q34:R34"/>
    <mergeCell ref="BM2:BR2"/>
    <mergeCell ref="AC25:AC26"/>
    <mergeCell ref="S16:S17"/>
    <mergeCell ref="T7:T13"/>
    <mergeCell ref="Q14:R15"/>
    <mergeCell ref="AB16:AB19"/>
    <mergeCell ref="AB21:AB22"/>
    <mergeCell ref="Q22:R23"/>
    <mergeCell ref="Q16:R17"/>
    <mergeCell ref="S25:S26"/>
    <mergeCell ref="BG25:BG26"/>
    <mergeCell ref="BA11:BA24"/>
    <mergeCell ref="BA25:BA26"/>
    <mergeCell ref="BI25:BI26"/>
    <mergeCell ref="K16:L19"/>
    <mergeCell ref="S7:S11"/>
    <mergeCell ref="F27:G27"/>
    <mergeCell ref="F28:G28"/>
    <mergeCell ref="Q28:R28"/>
    <mergeCell ref="F29:G29"/>
    <mergeCell ref="Q29:R29"/>
    <mergeCell ref="F30:G30"/>
    <mergeCell ref="Q30:R30"/>
    <mergeCell ref="F35:G35"/>
    <mergeCell ref="Q35:R35"/>
    <mergeCell ref="BX25:BX26"/>
    <mergeCell ref="BY25:BY26"/>
    <mergeCell ref="CA25:CA26"/>
    <mergeCell ref="CB25:CE25"/>
    <mergeCell ref="CF25:CI25"/>
    <mergeCell ref="CJ25:CM25"/>
    <mergeCell ref="AZ25:AZ26"/>
    <mergeCell ref="BB25:BB26"/>
    <mergeCell ref="BD25:BD26"/>
    <mergeCell ref="BE25:BE26"/>
    <mergeCell ref="BZ6:BZ26"/>
    <mergeCell ref="CB6:CM6"/>
    <mergeCell ref="BJ25:BJ26"/>
    <mergeCell ref="BK25:BK26"/>
    <mergeCell ref="BL25:BL26"/>
    <mergeCell ref="BN25:BN26"/>
    <mergeCell ref="BO25:BO26"/>
    <mergeCell ref="BQ21:BQ23"/>
    <mergeCell ref="BR21:BR23"/>
    <mergeCell ref="BS21:BS23"/>
    <mergeCell ref="BP25:BP26"/>
    <mergeCell ref="BQ25:BQ26"/>
    <mergeCell ref="BR25:BR26"/>
    <mergeCell ref="BS25:BS26"/>
    <mergeCell ref="BT25:BT26"/>
    <mergeCell ref="BU25:BU26"/>
    <mergeCell ref="AN25:AN26"/>
    <mergeCell ref="AP25:AP26"/>
    <mergeCell ref="AT25:AT26"/>
    <mergeCell ref="AU25:AU26"/>
    <mergeCell ref="AV25:AV26"/>
    <mergeCell ref="AW25:AW26"/>
    <mergeCell ref="AX25:AX26"/>
    <mergeCell ref="AY25:AY26"/>
    <mergeCell ref="BH25:BH26"/>
    <mergeCell ref="BC25:BC26"/>
    <mergeCell ref="AS25:AS26"/>
    <mergeCell ref="DA24:DH24"/>
    <mergeCell ref="H25:H26"/>
    <mergeCell ref="M25:M26"/>
    <mergeCell ref="N25:N26"/>
    <mergeCell ref="O25:O26"/>
    <mergeCell ref="Q25:R26"/>
    <mergeCell ref="T25:T26"/>
    <mergeCell ref="U25:U26"/>
    <mergeCell ref="V25:V26"/>
    <mergeCell ref="W25:W26"/>
    <mergeCell ref="X25:X26"/>
    <mergeCell ref="Y25:Y26"/>
    <mergeCell ref="Z25:Z26"/>
    <mergeCell ref="AA25:AA26"/>
    <mergeCell ref="AB25:AB26"/>
    <mergeCell ref="AE25:AE26"/>
    <mergeCell ref="AF25:AF26"/>
    <mergeCell ref="AG25:AG26"/>
    <mergeCell ref="AH25:AH26"/>
    <mergeCell ref="AI25:AI26"/>
    <mergeCell ref="AJ25:AJ26"/>
    <mergeCell ref="AK25:AK26"/>
    <mergeCell ref="AL25:AL26"/>
    <mergeCell ref="AM25:AM26"/>
    <mergeCell ref="X19:X21"/>
    <mergeCell ref="AE20:AE21"/>
    <mergeCell ref="AG20:AG21"/>
    <mergeCell ref="AI20:AI21"/>
    <mergeCell ref="AK20:AK21"/>
    <mergeCell ref="AW11:AW24"/>
    <mergeCell ref="AB14:AB15"/>
    <mergeCell ref="AM16:AM17"/>
    <mergeCell ref="AN16:AN17"/>
    <mergeCell ref="X22:X24"/>
    <mergeCell ref="AS11:AS24"/>
    <mergeCell ref="CA7:CA10"/>
    <mergeCell ref="CS7:DH7"/>
    <mergeCell ref="AP11:AP24"/>
    <mergeCell ref="AT11:AT24"/>
    <mergeCell ref="AU11:AU24"/>
    <mergeCell ref="AV11:AV24"/>
    <mergeCell ref="AJ7:AJ12"/>
    <mergeCell ref="BC11:BC24"/>
    <mergeCell ref="AK7:AK17"/>
    <mergeCell ref="AL7:AL12"/>
    <mergeCell ref="AN7:AN10"/>
    <mergeCell ref="AY11:AY24"/>
    <mergeCell ref="BY17:BY18"/>
    <mergeCell ref="BT21:BT23"/>
    <mergeCell ref="BU21:BU23"/>
    <mergeCell ref="BJ21:BJ23"/>
    <mergeCell ref="BK21:BK23"/>
    <mergeCell ref="BL21:BL23"/>
    <mergeCell ref="BN21:BN23"/>
    <mergeCell ref="BD11:BD24"/>
    <mergeCell ref="BO21:BO23"/>
    <mergeCell ref="BP21:BP23"/>
    <mergeCell ref="CS24:CZ24"/>
    <mergeCell ref="BO7:BO19"/>
    <mergeCell ref="BP7:BP18"/>
    <mergeCell ref="BQ7:BQ18"/>
    <mergeCell ref="BR7:BR18"/>
    <mergeCell ref="BS7:BS18"/>
    <mergeCell ref="BT7:BT18"/>
    <mergeCell ref="BU7:BU18"/>
    <mergeCell ref="BX7:BX14"/>
    <mergeCell ref="BY7:BY14"/>
    <mergeCell ref="BN7:BN18"/>
    <mergeCell ref="BF11:BF24"/>
    <mergeCell ref="BI21:BI23"/>
    <mergeCell ref="BH11:BH24"/>
    <mergeCell ref="AP7:BH9"/>
    <mergeCell ref="AX11:AX24"/>
    <mergeCell ref="BG11:BG24"/>
    <mergeCell ref="AZ11:AZ24"/>
    <mergeCell ref="BB11:BB24"/>
    <mergeCell ref="BE11:BE24"/>
    <mergeCell ref="CR6:CR26"/>
    <mergeCell ref="C7:C15"/>
    <mergeCell ref="D7:E14"/>
    <mergeCell ref="F7:G11"/>
    <mergeCell ref="H7:H12"/>
    <mergeCell ref="O7:O11"/>
    <mergeCell ref="Q7:R9"/>
    <mergeCell ref="U7:U12"/>
    <mergeCell ref="V7:V12"/>
    <mergeCell ref="BV7:BV12"/>
    <mergeCell ref="Y7:Y15"/>
    <mergeCell ref="Z7:Z15"/>
    <mergeCell ref="AA7:AA15"/>
    <mergeCell ref="AB7:AB12"/>
    <mergeCell ref="AC7:AC10"/>
    <mergeCell ref="AE7:AE13"/>
    <mergeCell ref="AM7:AM11"/>
    <mergeCell ref="AP6:BH6"/>
    <mergeCell ref="BM6:BM26"/>
    <mergeCell ref="BI7:BI18"/>
    <mergeCell ref="BJ7:BJ18"/>
    <mergeCell ref="BK7:BK18"/>
    <mergeCell ref="BL7:BL18"/>
    <mergeCell ref="BF25:BF26"/>
    <mergeCell ref="A6:A26"/>
    <mergeCell ref="I6:J6"/>
    <mergeCell ref="K6:L6"/>
    <mergeCell ref="P6:P26"/>
    <mergeCell ref="AD6:AD26"/>
    <mergeCell ref="AO6:AO26"/>
    <mergeCell ref="I7:J15"/>
    <mergeCell ref="K7:L14"/>
    <mergeCell ref="M7:M15"/>
    <mergeCell ref="N7:N16"/>
    <mergeCell ref="AF7:AF13"/>
    <mergeCell ref="AG7:AG15"/>
    <mergeCell ref="AH7:AH13"/>
    <mergeCell ref="AI7:AI14"/>
    <mergeCell ref="N17:N19"/>
    <mergeCell ref="Q19:R19"/>
    <mergeCell ref="AE17:AE18"/>
    <mergeCell ref="AG17:AG18"/>
    <mergeCell ref="Q12:R13"/>
    <mergeCell ref="S13:S14"/>
    <mergeCell ref="Q18:R18"/>
    <mergeCell ref="X16:X18"/>
    <mergeCell ref="W7:W14"/>
    <mergeCell ref="X7:X13"/>
  </mergeCells>
  <pageMargins left="0.314" right="0.314" top="0.11799999999999999" bottom="0.27500000000000002" header="0.157" footer="0.11799999999999999"/>
  <pageSetup scale="73" firstPageNumber="24" orientation="landscape" r:id="rId1"/>
  <headerFooter>
    <oddFooter>&amp;C&amp;P</oddFooter>
  </headerFooter>
  <colBreaks count="6" manualBreakCount="6">
    <brk id="15" max="1048575" man="1"/>
    <brk id="29" max="1048575" man="1"/>
    <brk id="40" max="1048575" man="1"/>
    <brk id="64" max="35" man="1"/>
    <brk id="77" max="1048575" man="1"/>
    <brk id="95"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AB166"/>
  <sheetViews>
    <sheetView topLeftCell="A71" zoomScale="130" zoomScaleNormal="100" zoomScaleSheetLayoutView="130" workbookViewId="0">
      <selection activeCell="R148" sqref="R148"/>
    </sheetView>
  </sheetViews>
  <sheetFormatPr defaultColWidth="9.1796875" defaultRowHeight="13" x14ac:dyDescent="0.3"/>
  <cols>
    <col min="1" max="1" width="5.453125" style="597" customWidth="1"/>
    <col min="2" max="2" width="3" style="594" customWidth="1"/>
    <col min="3" max="3" width="2.453125" style="595" customWidth="1"/>
    <col min="4" max="4" width="6" style="595" customWidth="1"/>
    <col min="5" max="5" width="4.81640625" style="595" customWidth="1"/>
    <col min="6" max="6" width="5.1796875" style="184" customWidth="1"/>
    <col min="7" max="7" width="5" style="184" customWidth="1"/>
    <col min="8" max="8" width="6.1796875" style="596" customWidth="1"/>
    <col min="9" max="9" width="6.7265625" style="595" customWidth="1"/>
    <col min="10" max="10" width="5.7265625" style="595" customWidth="1"/>
    <col min="11" max="12" width="3" style="595" customWidth="1"/>
    <col min="13" max="13" width="6" style="595" customWidth="1"/>
    <col min="14" max="14" width="5.453125" style="595" customWidth="1"/>
    <col min="15" max="16" width="6" style="595" customWidth="1"/>
    <col min="17" max="17" width="5.453125" style="595" customWidth="1"/>
    <col min="18" max="18" width="6.453125" style="595" customWidth="1"/>
    <col min="19" max="19" width="5.453125" style="597" customWidth="1"/>
    <col min="20" max="20" width="2.81640625" style="595" customWidth="1"/>
    <col min="21" max="21" width="3.453125" style="594" customWidth="1"/>
    <col min="22" max="22" width="4.453125" style="595" customWidth="1"/>
    <col min="23" max="23" width="7.1796875" style="595" customWidth="1"/>
    <col min="24" max="24" width="6" style="595" customWidth="1"/>
    <col min="25" max="26" width="4.81640625" style="595" customWidth="1"/>
    <col min="27" max="27" width="5.81640625" style="595" customWidth="1"/>
    <col min="28" max="28" width="2.7265625" style="595" customWidth="1"/>
    <col min="29" max="16384" width="9.1796875" style="1002"/>
  </cols>
  <sheetData>
    <row r="1" spans="1:28" x14ac:dyDescent="0.3">
      <c r="A1" s="593" t="s">
        <v>1593</v>
      </c>
    </row>
    <row r="2" spans="1:28" ht="15.5" x14ac:dyDescent="0.35">
      <c r="A2" s="598"/>
      <c r="B2" s="599"/>
      <c r="C2" s="600"/>
      <c r="D2" s="605"/>
      <c r="E2" s="606">
        <v>11</v>
      </c>
      <c r="F2" s="4" t="s">
        <v>1215</v>
      </c>
      <c r="G2" s="601"/>
      <c r="H2" s="602"/>
      <c r="I2" s="600"/>
      <c r="J2" s="600"/>
      <c r="K2" s="600"/>
      <c r="L2" s="600"/>
      <c r="M2" s="600"/>
      <c r="N2" s="600"/>
      <c r="O2" s="600"/>
      <c r="P2" s="600"/>
      <c r="Q2" s="600"/>
      <c r="R2" s="600"/>
      <c r="S2" s="603"/>
      <c r="T2" s="600"/>
      <c r="U2" s="599"/>
      <c r="V2" s="604"/>
      <c r="W2" s="1003"/>
      <c r="X2" s="604"/>
      <c r="Y2" s="600"/>
      <c r="Z2" s="600"/>
      <c r="AA2" s="600"/>
      <c r="AB2" s="600"/>
    </row>
    <row r="3" spans="1:28" ht="15.5" x14ac:dyDescent="0.35">
      <c r="A3" s="598"/>
      <c r="B3" s="599"/>
      <c r="C3" s="600"/>
      <c r="D3" s="605"/>
      <c r="E3" s="606"/>
      <c r="F3" s="4"/>
      <c r="G3" s="601"/>
      <c r="H3" s="602"/>
      <c r="I3" s="600"/>
      <c r="J3" s="600"/>
      <c r="K3" s="600"/>
      <c r="L3" s="600"/>
      <c r="M3" s="600"/>
      <c r="N3" s="600"/>
      <c r="O3" s="600"/>
      <c r="P3" s="600"/>
      <c r="Q3" s="600"/>
      <c r="R3" s="600"/>
      <c r="S3" s="603"/>
      <c r="T3" s="600"/>
      <c r="U3" s="599"/>
      <c r="V3" s="604"/>
      <c r="W3" s="1003"/>
      <c r="X3" s="604"/>
      <c r="Y3" s="600"/>
      <c r="Z3" s="600"/>
      <c r="AA3" s="600"/>
      <c r="AB3" s="600"/>
    </row>
    <row r="4" spans="1:28" ht="11.25" customHeight="1" x14ac:dyDescent="0.35">
      <c r="A4" s="598"/>
      <c r="B4" s="599"/>
      <c r="C4" s="600"/>
      <c r="D4" s="600"/>
      <c r="E4" s="601"/>
      <c r="F4" s="601"/>
      <c r="G4" s="601"/>
      <c r="H4" s="602"/>
      <c r="I4" s="600"/>
      <c r="J4" s="600"/>
      <c r="K4" s="600"/>
      <c r="L4" s="600"/>
      <c r="M4" s="600"/>
      <c r="N4" s="600"/>
      <c r="O4" s="600"/>
      <c r="P4" s="600"/>
      <c r="Q4" s="600"/>
      <c r="R4" s="600"/>
      <c r="S4" s="603"/>
      <c r="T4" s="600"/>
      <c r="U4" s="599"/>
      <c r="V4" s="604"/>
      <c r="W4" s="1003"/>
      <c r="X4" s="604"/>
      <c r="Y4" s="600"/>
      <c r="Z4" s="600"/>
      <c r="AA4" s="600"/>
      <c r="AB4" s="600"/>
    </row>
    <row r="5" spans="1:28" ht="13.5" customHeight="1" x14ac:dyDescent="0.25">
      <c r="A5" s="1512">
        <v>11.01</v>
      </c>
      <c r="B5" s="1554" t="s">
        <v>1594</v>
      </c>
      <c r="C5" s="1555"/>
      <c r="D5" s="1555"/>
      <c r="E5" s="1555"/>
      <c r="F5" s="1555"/>
      <c r="G5" s="1555"/>
      <c r="H5" s="1555"/>
      <c r="I5" s="1556"/>
      <c r="J5" s="323">
        <f>A42+0.01</f>
        <v>11.079999999999998</v>
      </c>
      <c r="K5" s="3451" t="s">
        <v>1595</v>
      </c>
      <c r="L5" s="3451"/>
      <c r="M5" s="3451"/>
      <c r="N5" s="3451"/>
      <c r="O5" s="3451"/>
      <c r="P5" s="3451"/>
      <c r="Q5" s="3451"/>
      <c r="R5" s="3451"/>
      <c r="S5" s="323">
        <f>J40+0.01</f>
        <v>11.149999999999997</v>
      </c>
      <c r="T5" s="151" t="s">
        <v>1596</v>
      </c>
      <c r="U5" s="151"/>
      <c r="V5" s="151"/>
      <c r="W5" s="151"/>
      <c r="X5" s="151"/>
      <c r="Y5" s="151"/>
      <c r="Z5" s="151"/>
      <c r="AA5" s="152"/>
      <c r="AB5" s="609"/>
    </row>
    <row r="6" spans="1:28" ht="13.5" customHeight="1" x14ac:dyDescent="0.3">
      <c r="A6" s="1557"/>
      <c r="B6" s="1491">
        <v>1</v>
      </c>
      <c r="C6" s="1492"/>
      <c r="D6" s="1495"/>
      <c r="E6" s="1495"/>
      <c r="F6" s="1494"/>
      <c r="G6" s="1494"/>
      <c r="H6" s="1558"/>
      <c r="I6" s="1559"/>
      <c r="J6" s="369"/>
      <c r="K6" s="2785"/>
      <c r="L6" s="2785"/>
      <c r="M6" s="2785"/>
      <c r="N6" s="2785"/>
      <c r="O6" s="2785"/>
      <c r="P6" s="2785"/>
      <c r="Q6" s="2785"/>
      <c r="R6" s="2785"/>
      <c r="S6" s="610"/>
      <c r="T6" s="158" t="s">
        <v>1597</v>
      </c>
      <c r="U6" s="158"/>
      <c r="V6" s="158"/>
      <c r="W6" s="158"/>
      <c r="X6" s="158"/>
      <c r="Y6" s="158"/>
      <c r="Z6" s="158"/>
      <c r="AA6" s="159"/>
      <c r="AB6" s="609"/>
    </row>
    <row r="7" spans="1:28" ht="13.5" customHeight="1" x14ac:dyDescent="0.3">
      <c r="A7" s="1557"/>
      <c r="B7" s="1491">
        <v>2</v>
      </c>
      <c r="C7" s="1492"/>
      <c r="D7" s="1495" t="s">
        <v>1598</v>
      </c>
      <c r="E7" s="1495"/>
      <c r="F7" s="1494"/>
      <c r="G7" s="1494">
        <v>7</v>
      </c>
      <c r="H7" s="1558"/>
      <c r="I7" s="1495"/>
      <c r="J7" s="1488">
        <v>1</v>
      </c>
      <c r="K7" s="1004" t="s">
        <v>1599</v>
      </c>
      <c r="S7" s="610"/>
      <c r="T7" s="158">
        <v>1</v>
      </c>
      <c r="U7" s="158" t="s">
        <v>1197</v>
      </c>
      <c r="V7" s="158"/>
      <c r="W7" s="158">
        <v>2</v>
      </c>
      <c r="X7" s="158" t="str">
        <f>CONCATENATE("Non  ►(",S14,")")</f>
        <v>Non  ►(11.17)</v>
      </c>
      <c r="Y7" s="158"/>
      <c r="Z7" s="158"/>
      <c r="AA7" s="159"/>
      <c r="AB7" s="609"/>
    </row>
    <row r="8" spans="1:28" ht="12.75" customHeight="1" x14ac:dyDescent="0.25">
      <c r="A8" s="1557"/>
      <c r="B8" s="1491">
        <v>3</v>
      </c>
      <c r="C8" s="1492"/>
      <c r="D8" s="1495" t="s">
        <v>1600</v>
      </c>
      <c r="E8" s="1495"/>
      <c r="F8" s="1494"/>
      <c r="G8" s="1494">
        <v>8</v>
      </c>
      <c r="H8" s="1492" t="s">
        <v>1601</v>
      </c>
      <c r="I8" s="1495"/>
      <c r="J8" s="1488">
        <v>2</v>
      </c>
      <c r="K8" s="1004" t="s">
        <v>1602</v>
      </c>
      <c r="S8" s="323">
        <f>S5+0.01</f>
        <v>11.159999999999997</v>
      </c>
      <c r="T8" s="3451" t="s">
        <v>1603</v>
      </c>
      <c r="U8" s="3451"/>
      <c r="V8" s="3451"/>
      <c r="W8" s="3451"/>
      <c r="X8" s="3451"/>
      <c r="Y8" s="3451"/>
      <c r="Z8" s="3451"/>
      <c r="AA8" s="3452"/>
      <c r="AB8" s="609"/>
    </row>
    <row r="9" spans="1:28" ht="12.75" customHeight="1" x14ac:dyDescent="0.25">
      <c r="A9" s="1557"/>
      <c r="B9" s="1491">
        <v>4</v>
      </c>
      <c r="C9" s="1492"/>
      <c r="D9" s="1495" t="s">
        <v>1604</v>
      </c>
      <c r="E9" s="1495"/>
      <c r="F9" s="1494"/>
      <c r="G9" s="1494"/>
      <c r="H9" s="1560"/>
      <c r="I9" s="1495"/>
      <c r="J9" s="1488">
        <v>3</v>
      </c>
      <c r="K9" s="1004" t="s">
        <v>1605</v>
      </c>
      <c r="N9" s="626">
        <v>5</v>
      </c>
      <c r="O9" s="1004" t="s">
        <v>1606</v>
      </c>
      <c r="P9" s="1004"/>
      <c r="S9" s="614"/>
      <c r="T9" s="2427"/>
      <c r="U9" s="2427"/>
      <c r="V9" s="2427"/>
      <c r="W9" s="2427"/>
      <c r="X9" s="2427"/>
      <c r="Y9" s="2427"/>
      <c r="Z9" s="2427"/>
      <c r="AA9" s="2428"/>
      <c r="AB9" s="609"/>
    </row>
    <row r="10" spans="1:28" ht="14.25" customHeight="1" x14ac:dyDescent="0.25">
      <c r="A10" s="1557"/>
      <c r="B10" s="1491">
        <v>5</v>
      </c>
      <c r="C10" s="1492"/>
      <c r="D10" s="1495" t="s">
        <v>1607</v>
      </c>
      <c r="E10" s="1495"/>
      <c r="F10" s="1494"/>
      <c r="G10" s="1494"/>
      <c r="H10" s="1560"/>
      <c r="I10" s="1495"/>
      <c r="J10" s="1489">
        <v>4</v>
      </c>
      <c r="K10" s="1010" t="s">
        <v>1608</v>
      </c>
      <c r="N10" s="622">
        <v>6</v>
      </c>
      <c r="O10" s="1010" t="s">
        <v>1601</v>
      </c>
      <c r="P10" s="1010"/>
      <c r="S10" s="610"/>
      <c r="T10" s="158"/>
      <c r="U10" s="158"/>
      <c r="V10" s="158"/>
      <c r="W10" s="158"/>
      <c r="X10" s="158"/>
      <c r="Y10" s="158"/>
      <c r="Z10" s="158"/>
      <c r="AA10" s="159"/>
      <c r="AB10" s="609"/>
    </row>
    <row r="11" spans="1:28" ht="13.5" customHeight="1" x14ac:dyDescent="0.25">
      <c r="A11" s="1557"/>
      <c r="B11" s="1491">
        <v>6</v>
      </c>
      <c r="C11" s="1493"/>
      <c r="D11" s="1495"/>
      <c r="E11" s="1495"/>
      <c r="F11" s="1494"/>
      <c r="G11" s="1494"/>
      <c r="H11" s="1560"/>
      <c r="I11" s="1495"/>
      <c r="J11" s="323">
        <f>J5+0.01</f>
        <v>11.089999999999998</v>
      </c>
      <c r="K11" s="3451" t="s">
        <v>1609</v>
      </c>
      <c r="L11" s="3304"/>
      <c r="M11" s="3304"/>
      <c r="N11" s="3304"/>
      <c r="O11" s="3304"/>
      <c r="P11" s="3304"/>
      <c r="Q11" s="3304"/>
      <c r="R11" s="3304"/>
      <c r="S11" s="1070"/>
      <c r="T11" s="1071"/>
      <c r="U11" s="1072"/>
      <c r="V11" s="1071"/>
      <c r="W11" s="1071"/>
      <c r="X11" s="1071"/>
      <c r="Y11" s="1071"/>
      <c r="Z11" s="1071"/>
      <c r="AA11" s="1073"/>
      <c r="AB11" s="609"/>
    </row>
    <row r="12" spans="1:28" ht="12.75" customHeight="1" x14ac:dyDescent="0.25">
      <c r="A12" s="323">
        <f>A5+0.01</f>
        <v>11.02</v>
      </c>
      <c r="B12" s="629" t="s">
        <v>1610</v>
      </c>
      <c r="C12" s="625"/>
      <c r="D12" s="625"/>
      <c r="E12" s="625"/>
      <c r="F12" s="625"/>
      <c r="G12" s="625"/>
      <c r="H12" s="625"/>
      <c r="I12" s="625"/>
      <c r="J12" s="610"/>
      <c r="K12" s="3305"/>
      <c r="L12" s="3305"/>
      <c r="M12" s="3305"/>
      <c r="N12" s="3305"/>
      <c r="O12" s="3305"/>
      <c r="P12" s="3305"/>
      <c r="Q12" s="3305"/>
      <c r="R12" s="3305"/>
      <c r="S12" s="1074"/>
      <c r="T12" s="1076"/>
      <c r="U12" s="1166"/>
      <c r="V12" s="1076"/>
      <c r="W12" s="1076"/>
      <c r="X12" s="1076"/>
      <c r="Y12" s="1076"/>
      <c r="Z12" s="1076"/>
      <c r="AA12" s="1079"/>
      <c r="AB12" s="609"/>
    </row>
    <row r="13" spans="1:28" ht="12.75" customHeight="1" x14ac:dyDescent="0.25">
      <c r="A13" s="614"/>
      <c r="C13" s="160"/>
      <c r="D13" s="160"/>
      <c r="E13" s="160"/>
      <c r="F13" s="160"/>
      <c r="G13" s="160"/>
      <c r="H13" s="612"/>
      <c r="I13" s="612"/>
      <c r="J13" s="610"/>
      <c r="K13" s="3305"/>
      <c r="L13" s="3305"/>
      <c r="M13" s="3305"/>
      <c r="N13" s="3305"/>
      <c r="O13" s="3305"/>
      <c r="P13" s="3305"/>
      <c r="Q13" s="3305"/>
      <c r="R13" s="3494"/>
      <c r="AB13" s="609"/>
    </row>
    <row r="14" spans="1:28" ht="12.75" customHeight="1" x14ac:dyDescent="0.25">
      <c r="A14" s="614"/>
      <c r="B14" s="3178" t="s">
        <v>1611</v>
      </c>
      <c r="C14" s="3178"/>
      <c r="D14" s="3178"/>
      <c r="E14" s="3178"/>
      <c r="F14" s="3178"/>
      <c r="G14" s="3178"/>
      <c r="H14" s="612"/>
      <c r="I14" s="612"/>
      <c r="J14" s="610"/>
      <c r="K14" s="3495"/>
      <c r="L14" s="3495"/>
      <c r="M14" s="158"/>
      <c r="N14" s="618"/>
      <c r="O14" s="158"/>
      <c r="P14" s="158"/>
      <c r="Q14" s="158"/>
      <c r="R14" s="159"/>
      <c r="S14" s="610">
        <f>S8+0.01</f>
        <v>11.169999999999996</v>
      </c>
      <c r="T14" s="3449" t="s">
        <v>1612</v>
      </c>
      <c r="U14" s="3449"/>
      <c r="V14" s="3449"/>
      <c r="W14" s="3449"/>
      <c r="X14" s="3449"/>
      <c r="Y14" s="3449"/>
      <c r="Z14" s="3449"/>
      <c r="AA14" s="3450"/>
      <c r="AB14" s="609"/>
    </row>
    <row r="15" spans="1:28" ht="12.75" customHeight="1" x14ac:dyDescent="0.25">
      <c r="A15" s="610"/>
      <c r="B15" s="3178"/>
      <c r="C15" s="3178"/>
      <c r="D15" s="3178"/>
      <c r="E15" s="3178"/>
      <c r="F15" s="3178"/>
      <c r="G15" s="3178"/>
      <c r="H15" s="613"/>
      <c r="I15" s="158"/>
      <c r="J15" s="369"/>
      <c r="K15" s="3495"/>
      <c r="L15" s="3495"/>
      <c r="M15" s="158"/>
      <c r="N15" s="158"/>
      <c r="O15" s="158"/>
      <c r="P15" s="158"/>
      <c r="Q15" s="158"/>
      <c r="R15" s="158"/>
      <c r="S15" s="636"/>
      <c r="T15" s="3449"/>
      <c r="U15" s="3449"/>
      <c r="V15" s="3449"/>
      <c r="W15" s="3449"/>
      <c r="X15" s="3449"/>
      <c r="Y15" s="3449"/>
      <c r="Z15" s="3449"/>
      <c r="AA15" s="3450"/>
      <c r="AB15" s="609"/>
    </row>
    <row r="16" spans="1:28" ht="13.5" customHeight="1" x14ac:dyDescent="0.25">
      <c r="A16" s="323">
        <f>A12+0.01</f>
        <v>11.03</v>
      </c>
      <c r="B16" s="607" t="s">
        <v>1613</v>
      </c>
      <c r="C16" s="151"/>
      <c r="D16" s="151"/>
      <c r="E16" s="151"/>
      <c r="F16" s="151"/>
      <c r="G16" s="151"/>
      <c r="H16" s="151"/>
      <c r="I16" s="151"/>
      <c r="J16" s="621"/>
      <c r="K16" s="617"/>
      <c r="L16" s="617"/>
      <c r="M16" s="622" t="s">
        <v>1614</v>
      </c>
      <c r="N16" s="623">
        <f>S14</f>
        <v>11.169999999999996</v>
      </c>
      <c r="O16" s="617"/>
      <c r="P16" s="617"/>
      <c r="Q16" s="617"/>
      <c r="R16" s="617"/>
      <c r="S16" s="636"/>
      <c r="T16" s="2502"/>
      <c r="U16" s="615" t="s">
        <v>227</v>
      </c>
      <c r="V16" s="1175"/>
      <c r="W16" s="615" t="s">
        <v>240</v>
      </c>
      <c r="X16" s="2502"/>
      <c r="Z16" s="2502"/>
      <c r="AA16" s="2503"/>
      <c r="AB16" s="609"/>
    </row>
    <row r="17" spans="1:28" ht="12.75" customHeight="1" x14ac:dyDescent="0.25">
      <c r="A17" s="610"/>
      <c r="B17" s="613"/>
      <c r="C17" s="158" t="s">
        <v>1615</v>
      </c>
      <c r="D17" s="158"/>
      <c r="E17" s="158"/>
      <c r="F17" s="160"/>
      <c r="G17" s="160"/>
      <c r="H17" s="613"/>
      <c r="I17" s="158"/>
      <c r="J17" s="323">
        <f>J11+0.01</f>
        <v>11.099999999999998</v>
      </c>
      <c r="K17" s="3447" t="s">
        <v>1616</v>
      </c>
      <c r="L17" s="3447"/>
      <c r="M17" s="3447"/>
      <c r="N17" s="3447"/>
      <c r="O17" s="3447"/>
      <c r="P17" s="3447"/>
      <c r="Q17" s="3447"/>
      <c r="R17" s="3448"/>
      <c r="S17" s="1868"/>
      <c r="T17" s="1869"/>
      <c r="U17" s="1870"/>
      <c r="V17" s="1871"/>
      <c r="W17" s="1871"/>
      <c r="X17" s="1872"/>
      <c r="Y17" s="1869"/>
      <c r="Z17" s="1869"/>
      <c r="AA17" s="1873"/>
      <c r="AB17" s="609"/>
    </row>
    <row r="18" spans="1:28" ht="12.75" customHeight="1" x14ac:dyDescent="0.25">
      <c r="A18" s="610"/>
      <c r="B18" s="2508" t="s">
        <v>74</v>
      </c>
      <c r="C18" s="158" t="s">
        <v>1617</v>
      </c>
      <c r="D18" s="158"/>
      <c r="E18" s="158"/>
      <c r="F18" s="160"/>
      <c r="G18" s="160"/>
      <c r="H18" s="613"/>
      <c r="I18" s="158"/>
      <c r="J18" s="1171"/>
      <c r="K18" s="3449"/>
      <c r="L18" s="3449"/>
      <c r="M18" s="3449"/>
      <c r="N18" s="3449"/>
      <c r="O18" s="3449"/>
      <c r="P18" s="3449"/>
      <c r="Q18" s="3449"/>
      <c r="R18" s="3450"/>
      <c r="S18" s="323">
        <f>S14+0.01</f>
        <v>11.179999999999996</v>
      </c>
      <c r="T18" s="151" t="s">
        <v>1618</v>
      </c>
      <c r="U18" s="151"/>
      <c r="V18" s="151"/>
      <c r="W18" s="151"/>
      <c r="X18" s="151"/>
      <c r="Y18" s="151"/>
      <c r="Z18" s="151"/>
      <c r="AA18" s="152"/>
      <c r="AB18" s="609"/>
    </row>
    <row r="19" spans="1:28" ht="13.5" customHeight="1" x14ac:dyDescent="0.25">
      <c r="A19" s="610"/>
      <c r="B19" s="2508" t="s">
        <v>109</v>
      </c>
      <c r="C19" s="158" t="s">
        <v>1619</v>
      </c>
      <c r="D19" s="158"/>
      <c r="E19" s="158"/>
      <c r="F19" s="158"/>
      <c r="G19" s="158"/>
      <c r="H19" s="158"/>
      <c r="I19" s="158"/>
      <c r="J19" s="1171"/>
      <c r="K19" s="3449"/>
      <c r="L19" s="3449"/>
      <c r="M19" s="3449"/>
      <c r="N19" s="3449"/>
      <c r="O19" s="3449"/>
      <c r="P19" s="3449"/>
      <c r="Q19" s="3449"/>
      <c r="R19" s="3450"/>
      <c r="S19" s="610"/>
      <c r="T19" s="158" t="s">
        <v>1620</v>
      </c>
      <c r="U19" s="611"/>
      <c r="V19" s="158"/>
      <c r="W19" s="158"/>
      <c r="X19" s="158"/>
      <c r="Y19" s="158"/>
      <c r="Z19" s="158"/>
      <c r="AA19" s="159"/>
      <c r="AB19" s="609"/>
    </row>
    <row r="20" spans="1:28" ht="13.5" customHeight="1" x14ac:dyDescent="0.25">
      <c r="A20" s="610"/>
      <c r="B20" s="2508" t="s">
        <v>131</v>
      </c>
      <c r="C20" s="158" t="s">
        <v>1621</v>
      </c>
      <c r="D20" s="158"/>
      <c r="E20" s="158"/>
      <c r="F20" s="158"/>
      <c r="G20" s="158"/>
      <c r="H20" s="158"/>
      <c r="I20" s="624"/>
      <c r="J20" s="1171"/>
      <c r="K20" s="1167" t="s">
        <v>1622</v>
      </c>
      <c r="L20" s="1167"/>
      <c r="M20" s="1167"/>
      <c r="N20" s="1167"/>
      <c r="O20" s="1071"/>
      <c r="P20" s="1071"/>
      <c r="Q20" s="1071"/>
      <c r="R20" s="1071"/>
      <c r="S20" s="610"/>
      <c r="T20" s="1341">
        <v>1</v>
      </c>
      <c r="U20" s="1007" t="s">
        <v>1623</v>
      </c>
      <c r="V20" s="158"/>
      <c r="W20" s="158"/>
      <c r="X20" s="158"/>
      <c r="AB20" s="609"/>
    </row>
    <row r="21" spans="1:28" ht="13.5" customHeight="1" x14ac:dyDescent="0.25">
      <c r="A21" s="323">
        <f>A16+0.01</f>
        <v>11.04</v>
      </c>
      <c r="B21" s="607" t="s">
        <v>1624</v>
      </c>
      <c r="C21" s="1008"/>
      <c r="D21" s="151"/>
      <c r="E21" s="151"/>
      <c r="F21" s="764"/>
      <c r="G21" s="764"/>
      <c r="H21" s="155"/>
      <c r="I21" s="155"/>
      <c r="J21" s="1078"/>
      <c r="K21" s="1174" t="s">
        <v>1622</v>
      </c>
      <c r="L21" s="1174"/>
      <c r="M21" s="1174"/>
      <c r="N21" s="1174"/>
      <c r="O21" s="1076"/>
      <c r="P21" s="1076"/>
      <c r="Q21" s="1076"/>
      <c r="R21" s="1079"/>
      <c r="S21" s="606"/>
      <c r="T21" s="1341">
        <v>2</v>
      </c>
      <c r="U21" s="1007" t="s">
        <v>1625</v>
      </c>
      <c r="V21" s="158"/>
      <c r="W21" s="158"/>
      <c r="X21" s="609" t="s">
        <v>1626</v>
      </c>
      <c r="AB21" s="609"/>
    </row>
    <row r="22" spans="1:28" ht="12.5" x14ac:dyDescent="0.25">
      <c r="A22" s="610"/>
      <c r="B22" s="615"/>
      <c r="C22" s="1004"/>
      <c r="D22" s="158"/>
      <c r="E22" s="158"/>
      <c r="F22" s="160"/>
      <c r="G22" s="160"/>
      <c r="H22" s="624"/>
      <c r="I22" s="624"/>
      <c r="J22" s="610">
        <f>J17+0.01</f>
        <v>11.109999999999998</v>
      </c>
      <c r="K22" s="3449" t="s">
        <v>1627</v>
      </c>
      <c r="L22" s="3449"/>
      <c r="M22" s="3449"/>
      <c r="N22" s="3449"/>
      <c r="O22" s="3449"/>
      <c r="P22" s="3449"/>
      <c r="Q22" s="3449"/>
      <c r="R22" s="3450"/>
      <c r="S22" s="606"/>
      <c r="T22" s="1341">
        <v>3</v>
      </c>
      <c r="U22" s="1007" t="s">
        <v>1628</v>
      </c>
      <c r="V22" s="158"/>
      <c r="W22" s="158"/>
      <c r="X22" s="1342" t="s">
        <v>1629</v>
      </c>
      <c r="Z22" s="1342"/>
      <c r="AA22" s="1658"/>
      <c r="AB22" s="609"/>
    </row>
    <row r="23" spans="1:28" ht="12.5" x14ac:dyDescent="0.25">
      <c r="A23" s="610"/>
      <c r="B23" s="2504">
        <v>1</v>
      </c>
      <c r="C23" s="1004" t="s">
        <v>1630</v>
      </c>
      <c r="D23" s="158"/>
      <c r="E23" s="158"/>
      <c r="F23" s="160"/>
      <c r="G23" s="160"/>
      <c r="H23" s="624"/>
      <c r="I23" s="1179"/>
      <c r="J23" s="1171"/>
      <c r="K23" s="3449"/>
      <c r="L23" s="3449"/>
      <c r="M23" s="3449"/>
      <c r="N23" s="3449"/>
      <c r="O23" s="3449"/>
      <c r="P23" s="3449"/>
      <c r="Q23" s="3449"/>
      <c r="R23" s="3450"/>
      <c r="S23" s="606"/>
      <c r="T23" s="1341">
        <v>4</v>
      </c>
      <c r="U23" s="1007" t="s">
        <v>1631</v>
      </c>
      <c r="V23" s="1071"/>
      <c r="W23" s="158"/>
      <c r="X23" s="158"/>
      <c r="Y23" s="1342" t="s">
        <v>1632</v>
      </c>
      <c r="Z23" s="1004"/>
      <c r="AA23" s="159"/>
      <c r="AB23" s="609"/>
    </row>
    <row r="24" spans="1:28" ht="12.5" x14ac:dyDescent="0.25">
      <c r="A24" s="610"/>
      <c r="B24" s="2504">
        <v>2</v>
      </c>
      <c r="C24" s="1004" t="s">
        <v>1633</v>
      </c>
      <c r="D24" s="158"/>
      <c r="E24" s="158"/>
      <c r="F24" s="160"/>
      <c r="G24" s="160"/>
      <c r="H24" s="624"/>
      <c r="I24" s="1179"/>
      <c r="J24" s="1171"/>
      <c r="K24" s="1071"/>
      <c r="L24" s="1071"/>
      <c r="M24" s="612" t="s">
        <v>227</v>
      </c>
      <c r="N24" s="1071"/>
      <c r="O24" s="1071"/>
      <c r="P24" s="1071"/>
      <c r="Q24" s="1071"/>
      <c r="R24" s="1073"/>
      <c r="S24" s="606"/>
      <c r="T24" s="1341">
        <v>5</v>
      </c>
      <c r="U24" s="1007" t="s">
        <v>1634</v>
      </c>
      <c r="V24" s="158"/>
      <c r="W24" s="158"/>
      <c r="X24" s="158"/>
      <c r="Y24" s="158"/>
      <c r="Z24" s="158"/>
      <c r="AA24" s="159"/>
      <c r="AB24" s="609"/>
    </row>
    <row r="25" spans="1:28" ht="12.5" x14ac:dyDescent="0.25">
      <c r="A25" s="610"/>
      <c r="B25" s="2504">
        <v>3</v>
      </c>
      <c r="C25" s="1004" t="s">
        <v>1635</v>
      </c>
      <c r="D25" s="158"/>
      <c r="E25" s="158"/>
      <c r="F25" s="160"/>
      <c r="G25" s="160"/>
      <c r="H25" s="624"/>
      <c r="I25" s="1179"/>
      <c r="J25" s="1171"/>
      <c r="K25" s="1071"/>
      <c r="L25" s="1071"/>
      <c r="M25" s="612" t="str">
        <f>CONCATENATE("2 Non ►(",TEXT(J40,"0.00"),")")</f>
        <v>2 Non ►(11.14)</v>
      </c>
      <c r="N25" s="1071"/>
      <c r="O25" s="1071"/>
      <c r="P25" s="1071"/>
      <c r="Q25" s="1071"/>
      <c r="R25" s="1073"/>
      <c r="S25" s="323">
        <f>S18+0.01</f>
        <v>11.189999999999996</v>
      </c>
      <c r="T25" s="151" t="s">
        <v>1636</v>
      </c>
      <c r="U25" s="151"/>
      <c r="V25" s="151"/>
      <c r="W25" s="151"/>
      <c r="X25" s="151"/>
      <c r="Y25" s="151"/>
      <c r="Z25" s="151"/>
      <c r="AA25" s="152"/>
      <c r="AB25" s="609"/>
    </row>
    <row r="26" spans="1:28" ht="13.5" customHeight="1" x14ac:dyDescent="0.25">
      <c r="A26" s="610"/>
      <c r="B26" s="1490">
        <v>4</v>
      </c>
      <c r="C26" s="1004" t="s">
        <v>1637</v>
      </c>
      <c r="D26" s="158"/>
      <c r="E26" s="158"/>
      <c r="F26" s="160"/>
      <c r="G26" s="160"/>
      <c r="H26" s="624"/>
      <c r="I26" s="1179"/>
      <c r="J26" s="323">
        <f>J22+0.01</f>
        <v>11.119999999999997</v>
      </c>
      <c r="K26" s="3447" t="s">
        <v>1638</v>
      </c>
      <c r="L26" s="3447"/>
      <c r="M26" s="3447"/>
      <c r="N26" s="3447"/>
      <c r="O26" s="3447"/>
      <c r="P26" s="3447"/>
      <c r="Q26" s="3447"/>
      <c r="R26" s="3448"/>
      <c r="S26" s="606"/>
      <c r="T26" s="158">
        <v>1</v>
      </c>
      <c r="U26" s="1007" t="s">
        <v>1639</v>
      </c>
      <c r="V26" s="158"/>
      <c r="W26" s="158"/>
      <c r="X26" s="158">
        <v>7</v>
      </c>
      <c r="Y26" s="158" t="s">
        <v>1640</v>
      </c>
      <c r="Z26" s="158"/>
      <c r="AA26" s="159"/>
      <c r="AB26" s="609"/>
    </row>
    <row r="27" spans="1:28" ht="12.5" x14ac:dyDescent="0.25">
      <c r="A27" s="610"/>
      <c r="B27" s="2504">
        <v>5</v>
      </c>
      <c r="C27" s="1004" t="s">
        <v>1641</v>
      </c>
      <c r="D27" s="158"/>
      <c r="E27" s="624">
        <f>A38</f>
        <v>11.059999999999999</v>
      </c>
      <c r="F27" s="160"/>
      <c r="G27" s="160"/>
      <c r="H27" s="160"/>
      <c r="I27" s="613"/>
      <c r="J27" s="1171"/>
      <c r="K27" s="3449"/>
      <c r="L27" s="3449"/>
      <c r="M27" s="3449"/>
      <c r="N27" s="3449"/>
      <c r="O27" s="3449"/>
      <c r="P27" s="3449"/>
      <c r="Q27" s="3449"/>
      <c r="R27" s="3450"/>
      <c r="S27" s="606"/>
      <c r="T27" s="158">
        <v>2</v>
      </c>
      <c r="U27" s="1007" t="s">
        <v>1642</v>
      </c>
      <c r="V27" s="158"/>
      <c r="W27" s="158"/>
      <c r="X27" s="158">
        <v>8</v>
      </c>
      <c r="Y27" s="158" t="s">
        <v>1601</v>
      </c>
      <c r="Z27" s="158"/>
      <c r="AA27" s="159"/>
      <c r="AB27" s="609"/>
    </row>
    <row r="28" spans="1:28" ht="13.5" customHeight="1" x14ac:dyDescent="0.25">
      <c r="A28" s="610"/>
      <c r="B28" s="2504">
        <v>6</v>
      </c>
      <c r="C28" s="1004" t="s">
        <v>1643</v>
      </c>
      <c r="D28" s="158"/>
      <c r="E28" s="158"/>
      <c r="F28" s="160"/>
      <c r="G28" s="160"/>
      <c r="H28" s="624"/>
      <c r="I28" s="1179"/>
      <c r="J28" s="1171"/>
      <c r="K28" s="1071"/>
      <c r="L28" s="1071"/>
      <c r="M28" s="611" t="s">
        <v>1644</v>
      </c>
      <c r="N28" s="1071"/>
      <c r="O28" s="1071"/>
      <c r="P28" s="1071"/>
      <c r="Q28" s="1071"/>
      <c r="R28" s="1073"/>
      <c r="S28" s="606"/>
      <c r="T28" s="158">
        <v>3</v>
      </c>
      <c r="U28" s="1007" t="s">
        <v>1645</v>
      </c>
      <c r="V28" s="158"/>
      <c r="W28" s="158"/>
      <c r="X28" s="158"/>
      <c r="Y28" s="158"/>
      <c r="Z28" s="158"/>
      <c r="AA28" s="159"/>
      <c r="AB28" s="609"/>
    </row>
    <row r="29" spans="1:28" ht="12.5" x14ac:dyDescent="0.25">
      <c r="A29" s="369"/>
      <c r="B29" s="1490">
        <v>7</v>
      </c>
      <c r="C29" s="1004" t="s">
        <v>1646</v>
      </c>
      <c r="D29" s="158"/>
      <c r="E29" s="158"/>
      <c r="F29" s="160"/>
      <c r="G29" s="160"/>
      <c r="H29" s="624"/>
      <c r="I29" s="1179"/>
      <c r="J29" s="1171"/>
      <c r="K29" s="1071"/>
      <c r="L29" s="1071"/>
      <c r="M29" s="611" t="s">
        <v>1647</v>
      </c>
      <c r="N29" s="1071"/>
      <c r="O29" s="1071"/>
      <c r="P29" s="1071"/>
      <c r="Q29" s="1071"/>
      <c r="R29" s="1073"/>
      <c r="S29" s="606"/>
      <c r="T29" s="158">
        <v>4</v>
      </c>
      <c r="U29" s="158" t="s">
        <v>1648</v>
      </c>
      <c r="V29" s="158"/>
      <c r="W29" s="158"/>
      <c r="X29" s="158"/>
      <c r="Y29" s="158"/>
      <c r="Z29" s="158"/>
      <c r="AA29" s="159"/>
      <c r="AB29" s="609"/>
    </row>
    <row r="30" spans="1:28" ht="12.5" x14ac:dyDescent="0.25">
      <c r="A30" s="369"/>
      <c r="B30" s="2504">
        <v>8</v>
      </c>
      <c r="C30" s="158" t="s">
        <v>1649</v>
      </c>
      <c r="D30" s="158"/>
      <c r="E30" s="158"/>
      <c r="F30" s="158"/>
      <c r="G30" s="158"/>
      <c r="H30" s="624"/>
      <c r="I30" s="1179"/>
      <c r="J30" s="1171"/>
      <c r="K30" s="1071"/>
      <c r="L30" s="1071"/>
      <c r="M30" s="611" t="s">
        <v>489</v>
      </c>
      <c r="N30" s="1071"/>
      <c r="O30" s="1071"/>
      <c r="P30" s="1071"/>
      <c r="Q30" s="1071"/>
      <c r="R30" s="1073"/>
      <c r="S30" s="606"/>
      <c r="T30" s="158">
        <v>5</v>
      </c>
      <c r="U30" s="1007" t="s">
        <v>1650</v>
      </c>
      <c r="V30" s="158"/>
      <c r="W30" s="158"/>
      <c r="X30" s="158"/>
      <c r="Y30" s="158"/>
      <c r="Z30" s="158"/>
      <c r="AA30" s="159"/>
      <c r="AB30" s="609"/>
    </row>
    <row r="31" spans="1:28" ht="13" customHeight="1" x14ac:dyDescent="0.25">
      <c r="A31" s="323">
        <f>A21+0.01</f>
        <v>11.049999999999999</v>
      </c>
      <c r="B31" s="3466" t="s">
        <v>1651</v>
      </c>
      <c r="C31" s="3466"/>
      <c r="D31" s="3466"/>
      <c r="E31" s="3466"/>
      <c r="F31" s="3466"/>
      <c r="G31" s="3466"/>
      <c r="H31" s="3466"/>
      <c r="I31" s="1178"/>
      <c r="J31" s="1171"/>
      <c r="K31" s="1071"/>
      <c r="L31" s="1071"/>
      <c r="M31" s="626" t="s">
        <v>1614</v>
      </c>
      <c r="N31" s="624">
        <f>J40</f>
        <v>11.139999999999997</v>
      </c>
      <c r="O31" s="1071"/>
      <c r="P31" s="1071"/>
      <c r="Q31" s="1071"/>
      <c r="R31" s="1073"/>
      <c r="S31" s="1481"/>
      <c r="T31" s="617">
        <v>6</v>
      </c>
      <c r="U31" s="1172" t="s">
        <v>1652</v>
      </c>
      <c r="V31" s="617"/>
      <c r="W31" s="617"/>
      <c r="X31" s="617"/>
      <c r="Y31" s="617"/>
      <c r="Z31" s="617"/>
      <c r="AA31" s="361"/>
      <c r="AB31" s="609"/>
    </row>
    <row r="32" spans="1:28" ht="12.5" x14ac:dyDescent="0.25">
      <c r="A32" s="1070"/>
      <c r="B32" s="2889"/>
      <c r="C32" s="2889"/>
      <c r="D32" s="2889"/>
      <c r="E32" s="2889"/>
      <c r="F32" s="2889"/>
      <c r="G32" s="2889"/>
      <c r="H32" s="2889"/>
      <c r="I32" s="1073"/>
      <c r="J32" s="1874">
        <f>J26+0.01</f>
        <v>11.129999999999997</v>
      </c>
      <c r="K32" s="3488" t="s">
        <v>1653</v>
      </c>
      <c r="L32" s="3488"/>
      <c r="M32" s="3488"/>
      <c r="N32" s="3488"/>
      <c r="O32" s="3488"/>
      <c r="P32" s="3488"/>
      <c r="Q32" s="3488"/>
      <c r="R32" s="3489"/>
      <c r="S32" s="608">
        <f>S25+0.01</f>
        <v>11.199999999999996</v>
      </c>
      <c r="T32" s="3451" t="s">
        <v>1654</v>
      </c>
      <c r="U32" s="3451"/>
      <c r="V32" s="3451"/>
      <c r="W32" s="3451"/>
      <c r="X32" s="3451"/>
      <c r="Y32" s="3451"/>
      <c r="Z32" s="3451"/>
      <c r="AA32" s="3452"/>
      <c r="AB32" s="609"/>
    </row>
    <row r="33" spans="1:28" x14ac:dyDescent="0.3">
      <c r="J33" s="1875"/>
      <c r="K33" s="3490"/>
      <c r="L33" s="3490"/>
      <c r="M33" s="3490"/>
      <c r="N33" s="3490"/>
      <c r="O33" s="3490"/>
      <c r="P33" s="3490"/>
      <c r="Q33" s="3490"/>
      <c r="R33" s="3491"/>
      <c r="S33" s="606"/>
      <c r="T33" s="2785"/>
      <c r="U33" s="2785"/>
      <c r="V33" s="2785"/>
      <c r="W33" s="2785"/>
      <c r="X33" s="2785"/>
      <c r="Y33" s="2785"/>
      <c r="Z33" s="2785"/>
      <c r="AA33" s="2787"/>
      <c r="AB33" s="609"/>
    </row>
    <row r="34" spans="1:28" x14ac:dyDescent="0.3">
      <c r="J34" s="1875"/>
      <c r="K34" s="1835">
        <v>1</v>
      </c>
      <c r="L34" s="1845" t="s">
        <v>1655</v>
      </c>
      <c r="M34" s="1876"/>
      <c r="N34" s="1876"/>
      <c r="O34" s="1876"/>
      <c r="P34" s="1876"/>
      <c r="Q34" s="1876"/>
      <c r="R34" s="1877"/>
      <c r="S34" s="606"/>
      <c r="T34" s="611">
        <v>1</v>
      </c>
      <c r="U34" s="1007" t="s">
        <v>1656</v>
      </c>
      <c r="V34" s="158"/>
      <c r="W34" s="158"/>
      <c r="X34" s="626">
        <v>5</v>
      </c>
      <c r="Y34" s="1007" t="s">
        <v>1601</v>
      </c>
      <c r="Z34" s="158"/>
      <c r="AA34" s="159"/>
      <c r="AB34" s="609"/>
    </row>
    <row r="35" spans="1:28" x14ac:dyDescent="0.3">
      <c r="A35" s="1070"/>
      <c r="B35" s="1072"/>
      <c r="C35" s="1071"/>
      <c r="D35" s="1071"/>
      <c r="E35" s="1071"/>
      <c r="F35" s="1164"/>
      <c r="G35" s="1164"/>
      <c r="H35" s="1165"/>
      <c r="I35" s="1073"/>
      <c r="J35" s="1875"/>
      <c r="K35" s="1835">
        <v>2</v>
      </c>
      <c r="L35" s="1878" t="s">
        <v>1657</v>
      </c>
      <c r="M35" s="1876"/>
      <c r="N35" s="1876"/>
      <c r="O35" s="1876"/>
      <c r="P35" s="1876"/>
      <c r="Q35" s="1835"/>
      <c r="R35" s="1877"/>
      <c r="S35" s="619"/>
      <c r="T35" s="611">
        <v>2</v>
      </c>
      <c r="U35" s="1007" t="s">
        <v>1658</v>
      </c>
      <c r="V35" s="158"/>
      <c r="W35" s="158"/>
      <c r="X35" s="612"/>
      <c r="Y35" s="612"/>
      <c r="Z35" s="612"/>
      <c r="AA35" s="620"/>
      <c r="AB35" s="609"/>
    </row>
    <row r="36" spans="1:28" ht="13" customHeight="1" x14ac:dyDescent="0.25">
      <c r="A36" s="3486" t="str">
        <f>CONCATENATE(" Si 1,3 à (",TEXT(A21,"0.00"),") ►►(",TEXT(J17,"0.00"),")")</f>
        <v xml:space="preserve"> Si 1,3 à (11.04) ►►(11.10)</v>
      </c>
      <c r="B36" s="3486"/>
      <c r="C36" s="3486"/>
      <c r="D36" s="1071"/>
      <c r="E36" s="3486" t="str">
        <f>CONCATENATE(" Si 2,4 à (",TEXT(A21,"0.00"),") ►►(",TEXT(J32,"0.00"),")")</f>
        <v xml:space="preserve"> Si 2,4 à (11.04) ►►(11.13)</v>
      </c>
      <c r="F36" s="3486"/>
      <c r="G36" s="1879"/>
      <c r="H36" s="3486" t="str">
        <f>CONCATENATE(" Si 6,7, ou 8 à (",TEXT(A21,"0.00"),") ►►(",TEXT(S14,"0.00"),")")</f>
        <v xml:space="preserve"> Si 6,7, ou 8 à (11.04) ►►(11.17)</v>
      </c>
      <c r="I36" s="3486"/>
      <c r="J36" s="1875"/>
      <c r="K36" s="1835">
        <v>3</v>
      </c>
      <c r="L36" s="1878" t="s">
        <v>1659</v>
      </c>
      <c r="M36" s="1876"/>
      <c r="N36" s="1876"/>
      <c r="O36" s="1876"/>
      <c r="P36" s="1876"/>
      <c r="Q36" s="1876"/>
      <c r="R36" s="1877"/>
      <c r="S36" s="619"/>
      <c r="T36" s="611">
        <v>3</v>
      </c>
      <c r="U36" s="1007" t="s">
        <v>1660</v>
      </c>
      <c r="V36" s="612"/>
      <c r="W36" s="612"/>
      <c r="X36" s="158"/>
      <c r="Y36" s="158"/>
      <c r="Z36" s="612"/>
      <c r="AA36" s="620"/>
      <c r="AB36" s="609"/>
    </row>
    <row r="37" spans="1:28" ht="29.25" customHeight="1" x14ac:dyDescent="0.25">
      <c r="A37" s="3487"/>
      <c r="B37" s="3487"/>
      <c r="C37" s="3487"/>
      <c r="D37" s="1076"/>
      <c r="E37" s="3487"/>
      <c r="F37" s="3487"/>
      <c r="G37" s="1880"/>
      <c r="H37" s="3487"/>
      <c r="I37" s="3487"/>
      <c r="J37" s="1875"/>
      <c r="K37" s="1835">
        <v>4</v>
      </c>
      <c r="L37" s="1878" t="s">
        <v>1661</v>
      </c>
      <c r="M37" s="1876"/>
      <c r="N37" s="1876"/>
      <c r="O37" s="1876"/>
      <c r="P37" s="1876"/>
      <c r="Q37" s="1876"/>
      <c r="R37" s="1877"/>
      <c r="S37" s="606"/>
      <c r="T37" s="611">
        <v>4</v>
      </c>
      <c r="U37" s="1007" t="s">
        <v>1662</v>
      </c>
      <c r="V37" s="158"/>
      <c r="W37" s="158"/>
      <c r="X37" s="158"/>
      <c r="Y37" s="158"/>
      <c r="Z37" s="158"/>
      <c r="AA37" s="159"/>
      <c r="AB37" s="609"/>
    </row>
    <row r="38" spans="1:28" ht="12.5" x14ac:dyDescent="0.25">
      <c r="A38" s="323">
        <f>A31+0.01</f>
        <v>11.059999999999999</v>
      </c>
      <c r="B38" s="625" t="s">
        <v>1663</v>
      </c>
      <c r="C38" s="625"/>
      <c r="D38" s="625"/>
      <c r="E38" s="625"/>
      <c r="F38" s="625"/>
      <c r="G38" s="625"/>
      <c r="H38" s="625"/>
      <c r="I38" s="625"/>
      <c r="J38" s="1875"/>
      <c r="K38" s="1835">
        <v>5</v>
      </c>
      <c r="L38" s="1878" t="s">
        <v>1664</v>
      </c>
      <c r="M38" s="1876"/>
      <c r="N38" s="1876"/>
      <c r="O38" s="1876"/>
      <c r="P38" s="1876"/>
      <c r="Q38" s="1876"/>
      <c r="R38" s="1877"/>
      <c r="S38" s="608">
        <f>S32+0.01</f>
        <v>11.209999999999996</v>
      </c>
      <c r="T38" s="155" t="s">
        <v>1665</v>
      </c>
      <c r="U38" s="608"/>
      <c r="V38" s="608"/>
      <c r="W38" s="608"/>
      <c r="X38" s="608"/>
      <c r="Y38" s="608"/>
      <c r="Z38" s="608"/>
      <c r="AA38" s="759"/>
      <c r="AB38" s="609"/>
    </row>
    <row r="39" spans="1:28" ht="13.5" customHeight="1" x14ac:dyDescent="0.25">
      <c r="A39" s="614"/>
      <c r="B39" s="612"/>
      <c r="C39" s="612"/>
      <c r="D39" s="612"/>
      <c r="E39" s="612"/>
      <c r="F39" s="612"/>
      <c r="G39" s="612"/>
      <c r="H39" s="612"/>
      <c r="I39" s="612"/>
      <c r="J39" s="1171"/>
      <c r="K39" s="1835">
        <v>6</v>
      </c>
      <c r="L39" s="1878" t="s">
        <v>674</v>
      </c>
      <c r="M39" s="1071"/>
      <c r="N39" s="1071"/>
      <c r="O39" s="1071"/>
      <c r="P39" s="1071"/>
      <c r="Q39" s="1071"/>
      <c r="R39" s="1073"/>
      <c r="S39" s="606"/>
      <c r="T39" s="158" t="s">
        <v>478</v>
      </c>
      <c r="U39" s="158"/>
      <c r="V39" s="158"/>
      <c r="W39" s="612"/>
      <c r="X39" s="612"/>
      <c r="Y39" s="158"/>
      <c r="Z39" s="158"/>
      <c r="AA39" s="159"/>
      <c r="AB39" s="609"/>
    </row>
    <row r="40" spans="1:28" ht="13.5" customHeight="1" x14ac:dyDescent="0.25">
      <c r="A40" s="610"/>
      <c r="B40" s="2427"/>
      <c r="C40" s="1009"/>
      <c r="D40" s="1009"/>
      <c r="E40" s="1009"/>
      <c r="F40" s="1009"/>
      <c r="G40" s="1009"/>
      <c r="H40" s="1009"/>
      <c r="I40" s="1009"/>
      <c r="J40" s="2109">
        <f>J32+0.01</f>
        <v>11.139999999999997</v>
      </c>
      <c r="K40" s="2169" t="s">
        <v>1666</v>
      </c>
      <c r="L40" s="2170"/>
      <c r="M40" s="2170"/>
      <c r="N40" s="2170"/>
      <c r="O40" s="2170"/>
      <c r="P40" s="2170"/>
      <c r="Q40" s="2170"/>
      <c r="R40" s="2171"/>
      <c r="S40" s="606"/>
      <c r="T40" s="158" t="s">
        <v>487</v>
      </c>
      <c r="U40" s="158"/>
      <c r="V40" s="612"/>
      <c r="W40" s="626" t="str">
        <f>CONCATENATE("► (",A57,")")</f>
        <v>► (11.24)</v>
      </c>
      <c r="X40" s="612"/>
      <c r="Y40" s="624"/>
      <c r="Z40" s="158"/>
      <c r="AA40" s="159"/>
      <c r="AB40" s="609"/>
    </row>
    <row r="41" spans="1:28" ht="12.5" x14ac:dyDescent="0.25">
      <c r="A41" s="616"/>
      <c r="B41" s="1163"/>
      <c r="C41" s="1163"/>
      <c r="D41" s="1163"/>
      <c r="E41" s="1163"/>
      <c r="F41" s="1163"/>
      <c r="G41" s="1163"/>
      <c r="H41" s="1163"/>
      <c r="I41" s="1163"/>
      <c r="J41" s="2172"/>
      <c r="K41" s="69">
        <v>1</v>
      </c>
      <c r="L41" s="1173" t="s">
        <v>1667</v>
      </c>
      <c r="M41" s="1071"/>
      <c r="N41" s="1071"/>
      <c r="O41" s="1071"/>
      <c r="P41" s="1071"/>
      <c r="Q41" s="1071"/>
      <c r="R41" s="2117"/>
      <c r="S41" s="608">
        <f>S38+0.01</f>
        <v>11.219999999999995</v>
      </c>
      <c r="T41" s="3451" t="s">
        <v>1668</v>
      </c>
      <c r="U41" s="3451"/>
      <c r="V41" s="3451"/>
      <c r="W41" s="3451"/>
      <c r="X41" s="3451"/>
      <c r="Y41" s="3451"/>
      <c r="Z41" s="3451"/>
      <c r="AA41" s="3452"/>
      <c r="AB41" s="609"/>
    </row>
    <row r="42" spans="1:28" ht="13.5" customHeight="1" x14ac:dyDescent="0.25">
      <c r="A42" s="323">
        <f>+A38+0.01</f>
        <v>11.069999999999999</v>
      </c>
      <c r="B42" s="3466" t="s">
        <v>1669</v>
      </c>
      <c r="C42" s="3466"/>
      <c r="D42" s="3466"/>
      <c r="E42" s="3466"/>
      <c r="F42" s="3466"/>
      <c r="G42" s="3466"/>
      <c r="H42" s="3466"/>
      <c r="I42" s="3466"/>
      <c r="J42" s="2172"/>
      <c r="K42" s="69">
        <v>2</v>
      </c>
      <c r="L42" s="1173" t="s">
        <v>1670</v>
      </c>
      <c r="M42" s="1071"/>
      <c r="N42" s="1071"/>
      <c r="O42" s="1071"/>
      <c r="P42" s="1071"/>
      <c r="Q42" s="1071"/>
      <c r="R42" s="2117"/>
      <c r="S42" s="158"/>
      <c r="T42" s="2785"/>
      <c r="U42" s="2785"/>
      <c r="V42" s="2785"/>
      <c r="W42" s="2785"/>
      <c r="X42" s="2785"/>
      <c r="Y42" s="2785"/>
      <c r="Z42" s="2785"/>
      <c r="AA42" s="2787"/>
      <c r="AB42" s="609"/>
    </row>
    <row r="43" spans="1:28" ht="12.5" x14ac:dyDescent="0.25">
      <c r="A43" s="369"/>
      <c r="B43" s="2889"/>
      <c r="C43" s="2889"/>
      <c r="D43" s="2889"/>
      <c r="E43" s="2889"/>
      <c r="F43" s="2889"/>
      <c r="G43" s="2889"/>
      <c r="H43" s="2889"/>
      <c r="I43" s="2889"/>
      <c r="J43" s="2172"/>
      <c r="K43" s="69">
        <v>3</v>
      </c>
      <c r="L43" s="1173" t="s">
        <v>1671</v>
      </c>
      <c r="M43" s="1071"/>
      <c r="N43" s="1071"/>
      <c r="O43" s="1071"/>
      <c r="P43" s="1071"/>
      <c r="Q43" s="1071"/>
      <c r="R43" s="2117"/>
      <c r="S43" s="606"/>
      <c r="T43" s="2369"/>
      <c r="U43" s="158">
        <v>1</v>
      </c>
      <c r="V43" s="158" t="str">
        <f>CONCATENATE("Oui  ► (",A57,")")</f>
        <v>Oui  ► (11.24)</v>
      </c>
      <c r="W43" s="158"/>
      <c r="X43" s="626"/>
      <c r="Y43" s="624"/>
      <c r="Z43" s="2369"/>
      <c r="AA43" s="2370"/>
      <c r="AB43" s="609"/>
    </row>
    <row r="44" spans="1:28" ht="12.5" x14ac:dyDescent="0.25">
      <c r="A44" s="610"/>
      <c r="B44" s="613"/>
      <c r="C44" s="158"/>
      <c r="D44" s="158" t="s">
        <v>478</v>
      </c>
      <c r="E44" s="158"/>
      <c r="F44" s="158"/>
      <c r="G44" s="158"/>
      <c r="H44" s="158"/>
      <c r="I44" s="158"/>
      <c r="J44" s="2172"/>
      <c r="K44" s="69">
        <v>4</v>
      </c>
      <c r="L44" s="1173" t="s">
        <v>1672</v>
      </c>
      <c r="M44" s="1071"/>
      <c r="N44" s="1071"/>
      <c r="O44" s="1071"/>
      <c r="P44" s="1071"/>
      <c r="Q44" s="1071"/>
      <c r="R44" s="2117"/>
      <c r="S44" s="158"/>
      <c r="T44" s="158"/>
      <c r="U44" s="158">
        <v>2</v>
      </c>
      <c r="V44" s="158" t="s">
        <v>1198</v>
      </c>
      <c r="W44" s="158"/>
      <c r="X44" s="612"/>
      <c r="Y44" s="612"/>
      <c r="Z44" s="158"/>
      <c r="AA44" s="159"/>
      <c r="AB44" s="609"/>
    </row>
    <row r="45" spans="1:28" ht="12.5" x14ac:dyDescent="0.25">
      <c r="A45" s="616"/>
      <c r="B45" s="2507"/>
      <c r="C45" s="1010"/>
      <c r="D45" s="617" t="s">
        <v>487</v>
      </c>
      <c r="E45" s="632" t="s">
        <v>1673</v>
      </c>
      <c r="F45" s="623">
        <f>S14</f>
        <v>11.169999999999996</v>
      </c>
      <c r="G45" s="617"/>
      <c r="H45" s="617"/>
      <c r="I45" s="617"/>
      <c r="J45" s="2173"/>
      <c r="K45" s="2174">
        <v>5</v>
      </c>
      <c r="L45" s="2175" t="s">
        <v>1674</v>
      </c>
      <c r="M45" s="2176"/>
      <c r="N45" s="2177"/>
      <c r="O45" s="2177"/>
      <c r="P45" s="2177"/>
      <c r="Q45" s="2177"/>
      <c r="R45" s="2178"/>
      <c r="S45" s="627"/>
      <c r="T45" s="627"/>
      <c r="U45" s="627">
        <v>3</v>
      </c>
      <c r="V45" s="627" t="s">
        <v>1675</v>
      </c>
      <c r="W45" s="627"/>
      <c r="X45" s="627"/>
      <c r="Y45" s="627"/>
      <c r="Z45" s="627"/>
      <c r="AA45" s="628"/>
      <c r="AB45" s="609"/>
    </row>
    <row r="46" spans="1:28" ht="12.5" x14ac:dyDescent="0.25">
      <c r="A46" s="617"/>
      <c r="B46" s="617"/>
      <c r="C46" s="617"/>
      <c r="D46" s="617"/>
      <c r="E46" s="617"/>
      <c r="F46" s="617"/>
      <c r="G46" s="617"/>
      <c r="H46" s="617"/>
      <c r="I46" s="617"/>
      <c r="J46" s="612"/>
      <c r="K46" s="2188"/>
      <c r="L46" s="1007"/>
      <c r="M46" s="158"/>
      <c r="N46" s="612"/>
      <c r="O46" s="612"/>
      <c r="P46" s="612"/>
      <c r="Q46" s="612"/>
      <c r="R46" s="612"/>
      <c r="S46" s="1480"/>
      <c r="T46" s="627"/>
      <c r="U46" s="1075"/>
      <c r="V46" s="1075"/>
      <c r="W46" s="1075"/>
      <c r="X46" s="1075"/>
      <c r="Y46" s="1075"/>
      <c r="Z46" s="1075"/>
      <c r="AA46" s="1076"/>
      <c r="AB46" s="609"/>
    </row>
    <row r="47" spans="1:28" ht="13.5" customHeight="1" x14ac:dyDescent="0.3">
      <c r="A47" s="610">
        <f>S41+0.01</f>
        <v>11.229999999999995</v>
      </c>
      <c r="B47" s="158" t="s">
        <v>1676</v>
      </c>
      <c r="C47" s="158"/>
      <c r="D47" s="158"/>
      <c r="E47" s="158"/>
      <c r="F47" s="158"/>
      <c r="G47" s="158"/>
      <c r="H47" s="158"/>
      <c r="I47" s="1073"/>
      <c r="J47" s="2118" t="str">
        <f>CONCATENATE(A66, "a")</f>
        <v>11.26a</v>
      </c>
      <c r="K47" s="2119" t="s">
        <v>1677</v>
      </c>
      <c r="L47" s="2120"/>
      <c r="M47" s="2120"/>
      <c r="N47" s="2120"/>
      <c r="O47" s="2121"/>
      <c r="P47" s="2121"/>
      <c r="Q47" s="2122"/>
      <c r="R47" s="2123"/>
      <c r="S47" s="2551">
        <f>J80+0.01</f>
        <v>11.329999999999993</v>
      </c>
      <c r="T47" s="2785" t="s">
        <v>1678</v>
      </c>
      <c r="U47" s="2785"/>
      <c r="V47" s="2785"/>
      <c r="W47" s="2785"/>
      <c r="X47" s="2785"/>
      <c r="Y47" s="2785"/>
      <c r="Z47" s="2785"/>
      <c r="AA47" s="2787"/>
      <c r="AB47" s="609"/>
    </row>
    <row r="48" spans="1:28" ht="13.5" customHeight="1" x14ac:dyDescent="0.3">
      <c r="A48" s="369"/>
      <c r="B48" s="158"/>
      <c r="C48" s="158"/>
      <c r="D48" s="158"/>
      <c r="E48" s="158"/>
      <c r="F48" s="158"/>
      <c r="G48" s="158"/>
      <c r="H48" s="158"/>
      <c r="I48" s="1073"/>
      <c r="J48" s="2114"/>
      <c r="K48" s="2115" t="s">
        <v>227</v>
      </c>
      <c r="L48" s="2116"/>
      <c r="M48" s="2116"/>
      <c r="N48" s="2116"/>
      <c r="O48" s="2124"/>
      <c r="P48" s="2124"/>
      <c r="Q48" s="2125"/>
      <c r="R48" s="2126"/>
      <c r="S48" s="2358"/>
      <c r="T48" s="158" t="s">
        <v>1679</v>
      </c>
      <c r="U48" s="158"/>
      <c r="V48" s="158"/>
      <c r="W48" s="624"/>
      <c r="X48" s="158"/>
      <c r="Y48" s="1011"/>
      <c r="Z48" s="1011"/>
      <c r="AA48" s="1012"/>
      <c r="AB48" s="609"/>
    </row>
    <row r="49" spans="1:28" x14ac:dyDescent="0.3">
      <c r="A49" s="369"/>
      <c r="B49" s="158"/>
      <c r="C49" s="158"/>
      <c r="D49" s="158"/>
      <c r="E49" s="158"/>
      <c r="F49" s="158"/>
      <c r="G49" s="158"/>
      <c r="H49" s="158"/>
      <c r="I49" s="1073"/>
      <c r="J49" s="2127"/>
      <c r="K49" s="2128" t="s">
        <v>240</v>
      </c>
      <c r="L49" s="2129"/>
      <c r="M49" s="2129"/>
      <c r="N49" s="2129"/>
      <c r="O49" s="2130"/>
      <c r="P49" s="2130"/>
      <c r="Q49" s="2131"/>
      <c r="R49" s="2132"/>
      <c r="S49" s="2358"/>
      <c r="T49" s="158" t="s">
        <v>1680</v>
      </c>
      <c r="U49" s="158"/>
      <c r="V49" s="626"/>
      <c r="W49" s="158"/>
      <c r="X49" s="158"/>
      <c r="Y49" s="624"/>
      <c r="Z49" s="158"/>
      <c r="AA49" s="159"/>
      <c r="AB49" s="609"/>
    </row>
    <row r="50" spans="1:28" ht="13.5" customHeight="1" x14ac:dyDescent="0.25">
      <c r="A50" s="369"/>
      <c r="B50" s="158"/>
      <c r="C50" s="158"/>
      <c r="D50" s="158"/>
      <c r="E50" s="158"/>
      <c r="F50" s="158"/>
      <c r="G50" s="158"/>
      <c r="H50" s="158"/>
      <c r="I50" s="2428"/>
      <c r="J50" s="610">
        <f>A66+0.01</f>
        <v>11.269999999999994</v>
      </c>
      <c r="K50" s="3483" t="s">
        <v>1681</v>
      </c>
      <c r="L50" s="3483"/>
      <c r="M50" s="3483"/>
      <c r="N50" s="3483"/>
      <c r="O50" s="3483"/>
      <c r="P50" s="3483"/>
      <c r="Q50" s="3483"/>
      <c r="R50" s="3484"/>
      <c r="S50" s="2358"/>
      <c r="T50" s="611" t="str">
        <f>CONCATENATE("3 Connecté directement au poteau ►(",TEXT(ROUND(S62,2),"0.00"),")")</f>
        <v>3 Connecté directement au poteau ►(11.36)</v>
      </c>
      <c r="U50" s="158"/>
      <c r="V50" s="626"/>
      <c r="W50" s="158"/>
      <c r="X50" s="158"/>
      <c r="Y50" s="624"/>
      <c r="Z50" s="158"/>
      <c r="AA50" s="159"/>
      <c r="AB50" s="609"/>
    </row>
    <row r="51" spans="1:28" ht="13.5" customHeight="1" x14ac:dyDescent="0.25">
      <c r="A51" s="369"/>
      <c r="B51" s="613" t="s">
        <v>1682</v>
      </c>
      <c r="C51" s="2508"/>
      <c r="D51" s="160"/>
      <c r="E51" s="158"/>
      <c r="F51" s="158"/>
      <c r="G51" s="158"/>
      <c r="H51" s="158"/>
      <c r="I51" s="1073"/>
      <c r="J51" s="610"/>
      <c r="K51" s="3483"/>
      <c r="L51" s="3483"/>
      <c r="M51" s="3483"/>
      <c r="N51" s="3483"/>
      <c r="O51" s="3483"/>
      <c r="P51" s="3483"/>
      <c r="Q51" s="3483"/>
      <c r="R51" s="3484"/>
      <c r="S51" s="617"/>
      <c r="T51" s="3485" t="str">
        <f>CONCATENATE("4  Non, ménage non connecté ►(",TEXT(ROUND(S70,2),"0.00"),")")</f>
        <v>4  Non, ménage non connecté ►(11.37)</v>
      </c>
      <c r="U51" s="3485"/>
      <c r="V51" s="3485"/>
      <c r="W51" s="3485"/>
      <c r="X51" s="3485"/>
      <c r="Y51" s="3485"/>
      <c r="Z51" s="3485"/>
      <c r="AA51" s="361"/>
      <c r="AB51" s="609"/>
    </row>
    <row r="52" spans="1:28" ht="13.5" customHeight="1" x14ac:dyDescent="0.25">
      <c r="A52" s="1070"/>
      <c r="B52" s="612" t="s">
        <v>1683</v>
      </c>
      <c r="C52" s="1072"/>
      <c r="D52" s="1071"/>
      <c r="E52" s="1071"/>
      <c r="F52" s="1071"/>
      <c r="G52" s="1071"/>
      <c r="H52" s="1071"/>
      <c r="I52" s="1073"/>
      <c r="J52" s="1070"/>
      <c r="K52" s="3483"/>
      <c r="L52" s="3483"/>
      <c r="M52" s="3483"/>
      <c r="N52" s="3483"/>
      <c r="O52" s="3483"/>
      <c r="P52" s="3483"/>
      <c r="Q52" s="3483"/>
      <c r="R52" s="3484"/>
      <c r="S52" s="2518">
        <f>S47+0.01</f>
        <v>11.339999999999993</v>
      </c>
      <c r="T52" s="3451" t="s">
        <v>1684</v>
      </c>
      <c r="U52" s="3451"/>
      <c r="V52" s="3451"/>
      <c r="W52" s="3451"/>
      <c r="X52" s="3451"/>
      <c r="Y52" s="3451"/>
      <c r="Z52" s="3451"/>
      <c r="AA52" s="3452"/>
      <c r="AB52" s="609"/>
    </row>
    <row r="53" spans="1:28" ht="13.5" customHeight="1" x14ac:dyDescent="0.25">
      <c r="A53" s="1070"/>
      <c r="B53" s="612" t="s">
        <v>1685</v>
      </c>
      <c r="C53" s="1072"/>
      <c r="D53" s="1071"/>
      <c r="E53" s="1071"/>
      <c r="F53" s="1071"/>
      <c r="G53" s="1071"/>
      <c r="H53" s="1071"/>
      <c r="I53" s="1073"/>
      <c r="J53" s="3177" t="str">
        <f>CONCATENATE("Si la source est dans le ménage, écrivez 0 ► (",TEXT(ROUND(J64,2),"0.00"),")")</f>
        <v>Si la source est dans le ménage, écrivez 0 ► (11.29)</v>
      </c>
      <c r="K53" s="3178"/>
      <c r="L53" s="3178"/>
      <c r="M53" s="3178"/>
      <c r="N53" s="3178"/>
      <c r="O53" s="2427"/>
      <c r="P53" s="2427"/>
      <c r="Q53" s="2427"/>
      <c r="R53" s="2428"/>
      <c r="S53" s="158"/>
      <c r="T53" s="2785"/>
      <c r="U53" s="2785"/>
      <c r="V53" s="2785"/>
      <c r="W53" s="2785"/>
      <c r="X53" s="2785"/>
      <c r="Y53" s="2785"/>
      <c r="Z53" s="2785"/>
      <c r="AA53" s="2787"/>
      <c r="AB53" s="609"/>
    </row>
    <row r="54" spans="1:28" ht="13.5" customHeight="1" x14ac:dyDescent="0.25">
      <c r="A54" s="1070"/>
      <c r="B54" s="612" t="s">
        <v>1686</v>
      </c>
      <c r="C54" s="1072"/>
      <c r="D54" s="1071"/>
      <c r="E54" s="1071"/>
      <c r="F54" s="1071"/>
      <c r="G54" s="1071"/>
      <c r="H54" s="1071"/>
      <c r="I54" s="1073"/>
      <c r="J54" s="3177"/>
      <c r="K54" s="3178"/>
      <c r="L54" s="3178"/>
      <c r="M54" s="3178"/>
      <c r="N54" s="3178"/>
      <c r="O54" s="158"/>
      <c r="P54" s="158"/>
      <c r="Q54" s="158"/>
      <c r="R54" s="159"/>
      <c r="S54" s="606"/>
      <c r="T54" s="2369"/>
      <c r="U54" s="158">
        <v>1</v>
      </c>
      <c r="V54" s="158" t="s">
        <v>1197</v>
      </c>
      <c r="W54" s="158"/>
      <c r="X54" s="626" t="str">
        <f>CONCATENATE("► (",TEXT(ROUND(S70,2),"0.00"),")")</f>
        <v>► (11.37)</v>
      </c>
      <c r="Y54" s="624"/>
      <c r="Z54" s="2369"/>
      <c r="AA54" s="2370"/>
      <c r="AB54" s="609"/>
    </row>
    <row r="55" spans="1:28" ht="13.5" customHeight="1" x14ac:dyDescent="0.25">
      <c r="A55" s="1070"/>
      <c r="B55" s="612" t="s">
        <v>1687</v>
      </c>
      <c r="C55" s="2427"/>
      <c r="D55" s="2427"/>
      <c r="E55" s="2427"/>
      <c r="F55" s="2427"/>
      <c r="G55" s="2427"/>
      <c r="H55" s="2427"/>
      <c r="I55" s="1073"/>
      <c r="J55" s="749"/>
      <c r="K55" s="2206"/>
      <c r="L55" s="2206"/>
      <c r="M55" s="2206"/>
      <c r="N55" s="2206"/>
      <c r="O55" s="158"/>
      <c r="P55" s="158"/>
      <c r="Q55" s="158"/>
      <c r="R55" s="159"/>
      <c r="S55" s="158"/>
      <c r="T55" s="158"/>
      <c r="U55" s="158">
        <v>2</v>
      </c>
      <c r="V55" s="158" t="s">
        <v>1198</v>
      </c>
      <c r="W55" s="158"/>
      <c r="X55" s="612"/>
      <c r="Y55" s="612"/>
      <c r="Z55" s="158"/>
      <c r="AA55" s="159"/>
      <c r="AB55" s="609"/>
    </row>
    <row r="56" spans="1:28" ht="13.5" customHeight="1" x14ac:dyDescent="0.25">
      <c r="A56" s="621"/>
      <c r="B56" s="617"/>
      <c r="C56" s="617"/>
      <c r="D56" s="617"/>
      <c r="E56" s="617"/>
      <c r="F56" s="617"/>
      <c r="G56" s="617"/>
      <c r="H56" s="617"/>
      <c r="I56" s="617"/>
      <c r="J56" s="2109">
        <f>J50+0.01</f>
        <v>11.279999999999994</v>
      </c>
      <c r="K56" s="2200" t="s">
        <v>1688</v>
      </c>
      <c r="L56" s="2200"/>
      <c r="M56" s="2200"/>
      <c r="N56" s="2200"/>
      <c r="O56" s="2200"/>
      <c r="P56" s="2200"/>
      <c r="Q56" s="2200"/>
      <c r="R56" s="2201"/>
      <c r="S56" s="627"/>
      <c r="T56" s="627"/>
      <c r="U56" s="617">
        <v>3</v>
      </c>
      <c r="V56" s="617" t="s">
        <v>1675</v>
      </c>
      <c r="W56" s="617"/>
      <c r="X56" s="627"/>
      <c r="Y56" s="627"/>
      <c r="Z56" s="627"/>
      <c r="AA56" s="628"/>
      <c r="AB56" s="609"/>
    </row>
    <row r="57" spans="1:28" ht="13.5" customHeight="1" x14ac:dyDescent="0.25">
      <c r="A57" s="610">
        <f>A47+0.01</f>
        <v>11.239999999999995</v>
      </c>
      <c r="B57" s="2785" t="s">
        <v>1689</v>
      </c>
      <c r="C57" s="2785"/>
      <c r="D57" s="2785"/>
      <c r="E57" s="2785"/>
      <c r="F57" s="2785"/>
      <c r="G57" s="2785"/>
      <c r="H57" s="2785"/>
      <c r="I57" s="2785"/>
      <c r="J57" s="2172"/>
      <c r="K57" s="1069"/>
      <c r="L57" s="1069"/>
      <c r="M57" s="1069"/>
      <c r="N57" s="1069"/>
      <c r="O57" s="1069"/>
      <c r="P57" s="1069"/>
      <c r="Q57" s="1069"/>
      <c r="R57" s="2202"/>
      <c r="S57" s="2518">
        <f>S52+0.01</f>
        <v>11.349999999999993</v>
      </c>
      <c r="T57" s="151" t="s">
        <v>1690</v>
      </c>
      <c r="U57" s="629"/>
      <c r="V57" s="625"/>
      <c r="W57" s="625"/>
      <c r="X57" s="151"/>
      <c r="Y57" s="151"/>
      <c r="Z57" s="151"/>
      <c r="AA57" s="152"/>
      <c r="AB57" s="631"/>
    </row>
    <row r="58" spans="1:28" ht="13.5" customHeight="1" x14ac:dyDescent="0.25">
      <c r="A58" s="369"/>
      <c r="B58" s="2785"/>
      <c r="C58" s="2785"/>
      <c r="D58" s="2785"/>
      <c r="E58" s="2785"/>
      <c r="F58" s="2785"/>
      <c r="G58" s="2785"/>
      <c r="H58" s="2785"/>
      <c r="I58" s="2785"/>
      <c r="J58" s="2172"/>
      <c r="K58" s="1069"/>
      <c r="L58" s="1069"/>
      <c r="M58" s="1069"/>
      <c r="N58" s="1069"/>
      <c r="O58" s="1069"/>
      <c r="P58" s="1069"/>
      <c r="Q58" s="1069"/>
      <c r="R58" s="2202"/>
      <c r="S58" s="158">
        <v>1</v>
      </c>
      <c r="T58" s="158" t="s">
        <v>1691</v>
      </c>
      <c r="V58" s="612"/>
      <c r="W58" s="612"/>
      <c r="X58" s="612" t="s">
        <v>1692</v>
      </c>
      <c r="Y58" s="612"/>
      <c r="Z58" s="1659"/>
      <c r="AA58" s="1660"/>
      <c r="AB58" s="631"/>
    </row>
    <row r="59" spans="1:28" x14ac:dyDescent="0.3">
      <c r="A59" s="369"/>
      <c r="B59" s="2480"/>
      <c r="C59" s="158">
        <v>1</v>
      </c>
      <c r="D59" s="158" t="s">
        <v>1197</v>
      </c>
      <c r="E59" s="1071"/>
      <c r="F59" s="1164"/>
      <c r="G59" s="1164"/>
      <c r="H59" s="1165"/>
      <c r="I59" s="2480"/>
      <c r="J59" s="2183" t="s">
        <v>1693</v>
      </c>
      <c r="K59" s="1479"/>
      <c r="L59" s="1479"/>
      <c r="M59" s="1479"/>
      <c r="N59" s="3453" t="s">
        <v>1694</v>
      </c>
      <c r="O59" s="3453"/>
      <c r="P59" s="160"/>
      <c r="Q59" s="613"/>
      <c r="R59" s="2112"/>
      <c r="S59" s="158">
        <v>2</v>
      </c>
      <c r="T59" s="2889" t="s">
        <v>1695</v>
      </c>
      <c r="U59" s="2889"/>
      <c r="V59" s="2889"/>
      <c r="W59" s="2889"/>
      <c r="X59" s="612" t="s">
        <v>1696</v>
      </c>
      <c r="Z59" s="1659"/>
      <c r="AA59" s="1660"/>
      <c r="AB59" s="631"/>
    </row>
    <row r="60" spans="1:28" ht="12.5" x14ac:dyDescent="0.25">
      <c r="A60" s="621"/>
      <c r="B60" s="1478"/>
      <c r="C60" s="617">
        <v>2</v>
      </c>
      <c r="D60" s="617" t="str">
        <f>CONCATENATE("Non  ►(", TEXT(A66,"0.00"),")")</f>
        <v>Non  ►(11.26)</v>
      </c>
      <c r="E60" s="1163"/>
      <c r="F60" s="1163"/>
      <c r="G60" s="1163"/>
      <c r="H60" s="1163"/>
      <c r="I60" s="1163"/>
      <c r="J60" s="2182"/>
      <c r="K60" s="1479"/>
      <c r="L60" s="1479"/>
      <c r="M60" s="1479"/>
      <c r="N60" s="158"/>
      <c r="O60" s="158"/>
      <c r="P60" s="158"/>
      <c r="Q60" s="158"/>
      <c r="R60" s="2112"/>
      <c r="S60" s="612"/>
      <c r="T60" s="2889"/>
      <c r="U60" s="2889"/>
      <c r="V60" s="2889"/>
      <c r="W60" s="2889"/>
      <c r="X60" s="1071"/>
      <c r="Y60" s="1071"/>
      <c r="Z60" s="1071"/>
      <c r="AA60" s="1073"/>
      <c r="AB60" s="631"/>
    </row>
    <row r="61" spans="1:28" ht="13.5" customHeight="1" x14ac:dyDescent="0.25">
      <c r="A61" s="323">
        <f>A57+0.01</f>
        <v>11.249999999999995</v>
      </c>
      <c r="B61" s="3451" t="s">
        <v>1697</v>
      </c>
      <c r="C61" s="3451"/>
      <c r="D61" s="3451"/>
      <c r="E61" s="3451"/>
      <c r="F61" s="3451"/>
      <c r="G61" s="3451"/>
      <c r="H61" s="3451"/>
      <c r="I61" s="3451"/>
      <c r="J61" s="3454" t="s">
        <v>1698</v>
      </c>
      <c r="K61" s="3455"/>
      <c r="L61" s="3455"/>
      <c r="M61" s="3455"/>
      <c r="N61" s="1071"/>
      <c r="O61" s="1071"/>
      <c r="P61" s="2427"/>
      <c r="Q61" s="1071"/>
      <c r="R61" s="2203"/>
      <c r="S61" s="627">
        <v>3</v>
      </c>
      <c r="T61" s="615" t="s">
        <v>1699</v>
      </c>
      <c r="V61" s="1076"/>
      <c r="W61" s="1076"/>
      <c r="X61" s="1076"/>
      <c r="Y61" s="1076"/>
      <c r="Z61" s="1076"/>
      <c r="AA61" s="1079"/>
      <c r="AB61" s="631"/>
    </row>
    <row r="62" spans="1:28" ht="13.5" customHeight="1" x14ac:dyDescent="0.25">
      <c r="A62" s="610"/>
      <c r="B62" s="2785"/>
      <c r="C62" s="2785"/>
      <c r="D62" s="2785"/>
      <c r="E62" s="2785"/>
      <c r="F62" s="2785"/>
      <c r="G62" s="2785"/>
      <c r="H62" s="2785"/>
      <c r="I62" s="2785"/>
      <c r="J62" s="3454"/>
      <c r="K62" s="3455"/>
      <c r="L62" s="3455"/>
      <c r="M62" s="3455"/>
      <c r="N62" s="3453" t="s">
        <v>1700</v>
      </c>
      <c r="O62" s="3453"/>
      <c r="P62" s="2427"/>
      <c r="Q62" s="2427"/>
      <c r="R62" s="2203"/>
      <c r="S62" s="2518">
        <f>S57+0.01</f>
        <v>11.359999999999992</v>
      </c>
      <c r="T62" s="151" t="s">
        <v>1701</v>
      </c>
      <c r="U62" s="151"/>
      <c r="V62" s="1332"/>
      <c r="W62" s="151"/>
      <c r="X62" s="151"/>
      <c r="Y62" s="151"/>
      <c r="Z62" s="151"/>
      <c r="AA62" s="152"/>
      <c r="AB62" s="631"/>
    </row>
    <row r="63" spans="1:28" ht="13.5" customHeight="1" x14ac:dyDescent="0.25">
      <c r="A63" s="610"/>
      <c r="B63" s="611"/>
      <c r="C63" s="158"/>
      <c r="D63" s="158"/>
      <c r="E63" s="158"/>
      <c r="F63" s="158"/>
      <c r="G63" s="158"/>
      <c r="H63" s="158"/>
      <c r="I63" s="158"/>
      <c r="J63" s="3456"/>
      <c r="K63" s="3457"/>
      <c r="L63" s="3457"/>
      <c r="M63" s="3457"/>
      <c r="N63" s="2204"/>
      <c r="O63" s="2204"/>
      <c r="P63" s="2204"/>
      <c r="Q63" s="2204"/>
      <c r="R63" s="2205"/>
      <c r="S63" s="158"/>
      <c r="U63" s="158"/>
      <c r="V63" s="158"/>
      <c r="W63" s="158"/>
      <c r="X63" s="158"/>
      <c r="Y63" s="158"/>
      <c r="Z63" s="158"/>
      <c r="AA63" s="159"/>
      <c r="AB63" s="631"/>
    </row>
    <row r="64" spans="1:28" ht="13.5" customHeight="1" x14ac:dyDescent="0.25">
      <c r="A64" s="610"/>
      <c r="B64" s="158"/>
      <c r="C64" s="158"/>
      <c r="D64" s="158"/>
      <c r="E64" s="158"/>
      <c r="F64" s="158"/>
      <c r="G64" s="158"/>
      <c r="H64" s="158"/>
      <c r="I64" s="158"/>
      <c r="J64" s="630">
        <f>J56+0.01</f>
        <v>11.289999999999994</v>
      </c>
      <c r="K64" s="2785" t="s">
        <v>1702</v>
      </c>
      <c r="L64" s="2785"/>
      <c r="M64" s="2785"/>
      <c r="N64" s="2785"/>
      <c r="O64" s="2785"/>
      <c r="P64" s="2785"/>
      <c r="Q64" s="2785"/>
      <c r="R64" s="2787"/>
      <c r="S64" s="158"/>
      <c r="T64" s="158"/>
      <c r="U64" s="158"/>
      <c r="V64" s="158"/>
      <c r="W64" s="158"/>
      <c r="X64" s="158"/>
      <c r="Y64" s="158"/>
      <c r="Z64" s="158"/>
      <c r="AA64" s="159"/>
      <c r="AB64" s="631"/>
    </row>
    <row r="65" spans="1:28" ht="13.5" customHeight="1" x14ac:dyDescent="0.25">
      <c r="A65" s="1070"/>
      <c r="B65" s="1072"/>
      <c r="C65" s="2427"/>
      <c r="D65" s="2427"/>
      <c r="E65" s="2427"/>
      <c r="F65" s="2427"/>
      <c r="G65" s="2427"/>
      <c r="H65" s="2427"/>
      <c r="I65" s="2427"/>
      <c r="J65" s="749"/>
      <c r="K65" s="2785"/>
      <c r="L65" s="2785"/>
      <c r="M65" s="2785"/>
      <c r="N65" s="2785"/>
      <c r="O65" s="2785"/>
      <c r="P65" s="2785"/>
      <c r="Q65" s="2785"/>
      <c r="R65" s="2787"/>
      <c r="S65" s="369"/>
      <c r="T65" s="613" t="s">
        <v>1682</v>
      </c>
      <c r="U65" s="2508"/>
      <c r="V65" s="160"/>
      <c r="W65" s="158"/>
      <c r="X65" s="158"/>
      <c r="Y65" s="158"/>
      <c r="Z65" s="158"/>
      <c r="AA65" s="159"/>
      <c r="AB65" s="631"/>
    </row>
    <row r="66" spans="1:28" ht="13.5" customHeight="1" x14ac:dyDescent="0.25">
      <c r="A66" s="2109">
        <f>A61+0.01</f>
        <v>11.259999999999994</v>
      </c>
      <c r="B66" s="3458" t="s">
        <v>1703</v>
      </c>
      <c r="C66" s="3458"/>
      <c r="D66" s="3458"/>
      <c r="E66" s="3458"/>
      <c r="F66" s="3458"/>
      <c r="G66" s="3458"/>
      <c r="H66" s="3458"/>
      <c r="I66" s="3458"/>
      <c r="J66" s="1171"/>
      <c r="K66" s="2785"/>
      <c r="L66" s="2785"/>
      <c r="M66" s="2785"/>
      <c r="N66" s="2785"/>
      <c r="O66" s="2785"/>
      <c r="P66" s="2785"/>
      <c r="Q66" s="2785"/>
      <c r="R66" s="2787"/>
      <c r="S66" s="158"/>
      <c r="T66" s="612" t="s">
        <v>1683</v>
      </c>
      <c r="U66" s="1072"/>
      <c r="V66" s="1071"/>
      <c r="W66" s="1071"/>
      <c r="X66" s="158"/>
      <c r="Y66" s="158"/>
      <c r="Z66" s="158"/>
      <c r="AA66" s="159"/>
      <c r="AB66" s="631"/>
    </row>
    <row r="67" spans="1:28" ht="13.5" customHeight="1" x14ac:dyDescent="0.25">
      <c r="A67" s="2110"/>
      <c r="B67" s="2785"/>
      <c r="C67" s="2785"/>
      <c r="D67" s="2785"/>
      <c r="E67" s="2785"/>
      <c r="F67" s="2785"/>
      <c r="G67" s="2785"/>
      <c r="H67" s="2785"/>
      <c r="I67" s="2785"/>
      <c r="J67" s="3177" t="str">
        <f>CONCATENATE("Si la source est dans le ménage, écrivez 0 ► (",TEXT(ROUND(J76,2),"0.00"),")")</f>
        <v>Si la source est dans le ménage, écrivez 0 ► (11.31)</v>
      </c>
      <c r="K67" s="3178"/>
      <c r="L67" s="3178"/>
      <c r="M67" s="3178"/>
      <c r="N67" s="3178"/>
      <c r="O67" s="158"/>
      <c r="P67" s="158"/>
      <c r="Q67" s="158"/>
      <c r="R67" s="159"/>
      <c r="S67" s="158"/>
      <c r="T67" s="612" t="s">
        <v>1685</v>
      </c>
      <c r="U67" s="1072"/>
      <c r="V67" s="1071"/>
      <c r="W67" s="1071"/>
      <c r="X67" s="158"/>
      <c r="Y67" s="158"/>
      <c r="Z67" s="158"/>
      <c r="AA67" s="159"/>
      <c r="AB67" s="631"/>
    </row>
    <row r="68" spans="1:28" ht="12.5" x14ac:dyDescent="0.25">
      <c r="A68" s="2111"/>
      <c r="B68" s="1013" t="s">
        <v>1704</v>
      </c>
      <c r="C68" s="158"/>
      <c r="D68" s="158"/>
      <c r="E68" s="158"/>
      <c r="F68" s="158"/>
      <c r="G68" s="158"/>
      <c r="H68" s="158"/>
      <c r="I68" s="158"/>
      <c r="J68" s="3177"/>
      <c r="K68" s="3178"/>
      <c r="L68" s="3178"/>
      <c r="M68" s="3178"/>
      <c r="N68" s="3178"/>
      <c r="O68" s="2427"/>
      <c r="P68" s="2427"/>
      <c r="Q68" s="2427"/>
      <c r="R68" s="2428"/>
      <c r="S68" s="158"/>
      <c r="T68" s="612" t="s">
        <v>1686</v>
      </c>
      <c r="U68" s="1072"/>
      <c r="V68" s="1071"/>
      <c r="W68" s="1071"/>
      <c r="X68" s="158"/>
      <c r="Y68" s="158"/>
      <c r="Z68" s="158"/>
      <c r="AA68" s="159"/>
      <c r="AB68" s="631"/>
    </row>
    <row r="69" spans="1:28" ht="12.5" x14ac:dyDescent="0.25">
      <c r="A69" s="2111">
        <v>1</v>
      </c>
      <c r="B69" s="1007" t="s">
        <v>1705</v>
      </c>
      <c r="C69" s="158"/>
      <c r="D69" s="158"/>
      <c r="E69" s="158"/>
      <c r="F69" s="158"/>
      <c r="G69" s="158"/>
      <c r="H69" s="158"/>
      <c r="I69" s="158"/>
      <c r="J69" s="2227">
        <f>J64+0.01</f>
        <v>11.299999999999994</v>
      </c>
      <c r="K69" s="3496" t="s">
        <v>1706</v>
      </c>
      <c r="L69" s="3496"/>
      <c r="M69" s="3496"/>
      <c r="N69" s="3496"/>
      <c r="O69" s="3496"/>
      <c r="P69" s="3496"/>
      <c r="Q69" s="3496"/>
      <c r="R69" s="3497"/>
      <c r="S69" s="617"/>
      <c r="T69" s="627" t="s">
        <v>1687</v>
      </c>
      <c r="U69" s="1075"/>
      <c r="V69" s="1075"/>
      <c r="W69" s="1075"/>
      <c r="X69" s="617"/>
      <c r="Y69" s="617"/>
      <c r="Z69" s="617"/>
      <c r="AA69" s="361"/>
      <c r="AB69" s="631"/>
    </row>
    <row r="70" spans="1:28" ht="12.5" x14ac:dyDescent="0.25">
      <c r="A70" s="2111">
        <v>2</v>
      </c>
      <c r="B70" s="1007" t="s">
        <v>1707</v>
      </c>
      <c r="C70" s="158"/>
      <c r="D70" s="158"/>
      <c r="E70" s="158"/>
      <c r="F70" s="158"/>
      <c r="G70" s="160" t="s">
        <v>1708</v>
      </c>
      <c r="H70" s="158"/>
      <c r="I70" s="158"/>
      <c r="J70" s="2172"/>
      <c r="K70" s="3498"/>
      <c r="L70" s="3498"/>
      <c r="M70" s="3498"/>
      <c r="N70" s="3498"/>
      <c r="O70" s="3498"/>
      <c r="P70" s="3498"/>
      <c r="Q70" s="3498"/>
      <c r="R70" s="3499"/>
      <c r="S70" s="2518">
        <f>S62+0.01</f>
        <v>11.369999999999992</v>
      </c>
      <c r="T70" s="607" t="s">
        <v>1709</v>
      </c>
      <c r="U70" s="607"/>
      <c r="V70" s="607"/>
      <c r="W70" s="607"/>
      <c r="X70" s="607"/>
      <c r="Y70" s="607"/>
      <c r="Z70" s="607"/>
      <c r="AA70" s="790"/>
      <c r="AB70" s="631"/>
    </row>
    <row r="71" spans="1:28" ht="13.5" customHeight="1" x14ac:dyDescent="0.25">
      <c r="A71" s="2111">
        <v>3</v>
      </c>
      <c r="B71" s="1007" t="s">
        <v>1710</v>
      </c>
      <c r="C71" s="158"/>
      <c r="D71" s="158"/>
      <c r="E71" s="158"/>
      <c r="F71" s="158"/>
      <c r="G71" s="158"/>
      <c r="H71" s="158"/>
      <c r="I71" s="158"/>
      <c r="J71" s="2183" t="s">
        <v>1693</v>
      </c>
      <c r="K71" s="612"/>
      <c r="L71" s="612"/>
      <c r="M71" s="612"/>
      <c r="N71" s="2508" t="s">
        <v>1694</v>
      </c>
      <c r="O71" s="612"/>
      <c r="P71" s="612"/>
      <c r="Q71" s="612"/>
      <c r="R71" s="2184"/>
      <c r="S71" s="606"/>
      <c r="T71" s="611">
        <v>1</v>
      </c>
      <c r="U71" s="1007" t="s">
        <v>1711</v>
      </c>
      <c r="V71" s="158"/>
      <c r="W71" s="158"/>
      <c r="X71" s="158"/>
      <c r="Y71" s="158"/>
      <c r="Z71" s="158"/>
      <c r="AA71" s="159"/>
      <c r="AB71" s="631"/>
    </row>
    <row r="72" spans="1:28" ht="13.5" customHeight="1" x14ac:dyDescent="0.25">
      <c r="A72" s="2111">
        <v>4</v>
      </c>
      <c r="B72" s="1007" t="s">
        <v>1712</v>
      </c>
      <c r="C72" s="158"/>
      <c r="D72" s="158"/>
      <c r="E72" s="158"/>
      <c r="F72" s="158"/>
      <c r="G72" s="158"/>
      <c r="H72" s="158"/>
      <c r="I72" s="158"/>
      <c r="J72" s="2172"/>
      <c r="K72" s="2181"/>
      <c r="L72" s="2181"/>
      <c r="M72" s="2181"/>
      <c r="N72" s="1479"/>
      <c r="O72" s="1479"/>
      <c r="P72" s="160"/>
      <c r="Q72" s="613"/>
      <c r="R72" s="2112"/>
      <c r="S72" s="606"/>
      <c r="T72" s="611">
        <v>2</v>
      </c>
      <c r="U72" s="1007" t="str">
        <f>CONCATENATE("Electricité (générateur) ► (",TEXT(ROUND(A101,2),"0.00"),")")</f>
        <v>Electricité (générateur) ► (11.42)</v>
      </c>
      <c r="V72" s="158"/>
      <c r="W72" s="158"/>
      <c r="X72" s="158"/>
      <c r="Y72" s="158"/>
      <c r="Z72" s="158"/>
      <c r="AA72" s="159"/>
      <c r="AB72" s="631"/>
    </row>
    <row r="73" spans="1:28" ht="12.5" x14ac:dyDescent="0.25">
      <c r="A73" s="2111"/>
      <c r="B73" s="1013" t="s">
        <v>1713</v>
      </c>
      <c r="C73" s="158"/>
      <c r="D73" s="158"/>
      <c r="E73" s="158"/>
      <c r="F73" s="158"/>
      <c r="G73" s="158"/>
      <c r="H73" s="158"/>
      <c r="I73" s="158"/>
      <c r="J73" s="3454" t="s">
        <v>1698</v>
      </c>
      <c r="K73" s="3455"/>
      <c r="L73" s="3455"/>
      <c r="M73" s="3455"/>
      <c r="N73" s="3455"/>
      <c r="O73" s="160" t="s">
        <v>1700</v>
      </c>
      <c r="P73" s="160"/>
      <c r="Q73" s="158"/>
      <c r="R73" s="2112"/>
      <c r="S73" s="606"/>
      <c r="T73" s="611">
        <v>3</v>
      </c>
      <c r="U73" s="1007" t="str">
        <f>CONCATENATE("Electricité avec plaque solaire ► (",TEXT(ROUND(A101,2),"0.00"),")")</f>
        <v>Electricité avec plaque solaire ► (11.42)</v>
      </c>
      <c r="V73" s="158"/>
      <c r="W73" s="158"/>
      <c r="X73" s="158"/>
      <c r="Y73" s="158"/>
      <c r="Z73" s="158"/>
      <c r="AA73" s="159"/>
      <c r="AB73" s="631"/>
    </row>
    <row r="74" spans="1:28" ht="13.5" customHeight="1" x14ac:dyDescent="0.25">
      <c r="A74" s="2111">
        <v>5</v>
      </c>
      <c r="B74" s="1007" t="s">
        <v>1714</v>
      </c>
      <c r="C74" s="158"/>
      <c r="D74" s="158"/>
      <c r="E74" s="158"/>
      <c r="F74" s="158"/>
      <c r="G74" s="158"/>
      <c r="H74" s="158"/>
      <c r="I74" s="158"/>
      <c r="J74" s="3454"/>
      <c r="K74" s="3455"/>
      <c r="L74" s="3455"/>
      <c r="M74" s="3455"/>
      <c r="N74" s="3455"/>
      <c r="O74" s="1071"/>
      <c r="P74" s="160"/>
      <c r="Q74" s="1071"/>
      <c r="R74" s="2207"/>
      <c r="S74" s="606"/>
      <c r="T74" s="611">
        <v>4</v>
      </c>
      <c r="U74" s="1007" t="str">
        <f>CONCATENATE("Lampe à pétrole ► (",TEXT(ROUND(A101,2),"0.00"),")")</f>
        <v>Lampe à pétrole ► (11.42)</v>
      </c>
      <c r="V74" s="158"/>
      <c r="W74" s="158"/>
      <c r="X74" s="158"/>
      <c r="Y74" s="158"/>
      <c r="Z74" s="158"/>
      <c r="AA74" s="159"/>
      <c r="AB74" s="631"/>
    </row>
    <row r="75" spans="1:28" ht="12.5" x14ac:dyDescent="0.25">
      <c r="A75" s="2111">
        <v>6</v>
      </c>
      <c r="B75" s="1007" t="s">
        <v>1715</v>
      </c>
      <c r="C75" s="158"/>
      <c r="D75" s="158"/>
      <c r="E75" s="158"/>
      <c r="F75" s="158"/>
      <c r="G75" s="158"/>
      <c r="H75" s="158"/>
      <c r="I75" s="158"/>
      <c r="J75" s="2185"/>
      <c r="K75" s="2186"/>
      <c r="L75" s="2186"/>
      <c r="M75" s="2186"/>
      <c r="N75" s="2186"/>
      <c r="O75" s="2186"/>
      <c r="P75" s="2186"/>
      <c r="Q75" s="2191"/>
      <c r="R75" s="2187"/>
      <c r="S75" s="606"/>
      <c r="T75" s="611">
        <v>5</v>
      </c>
      <c r="U75" s="1007" t="str">
        <f>CONCATENATE("Lampe à pile/Lampe solaire ► (",TEXT(ROUND(A101,2),"0.00"),")")</f>
        <v>Lampe à pile/Lampe solaire ► (11.42)</v>
      </c>
      <c r="V75" s="158"/>
      <c r="W75" s="158"/>
      <c r="X75" s="158"/>
      <c r="Y75" s="158"/>
      <c r="Z75" s="158"/>
      <c r="AA75" s="159"/>
      <c r="AB75" s="631"/>
    </row>
    <row r="76" spans="1:28" ht="12.5" x14ac:dyDescent="0.25">
      <c r="A76" s="2111"/>
      <c r="B76" s="1013" t="s">
        <v>1716</v>
      </c>
      <c r="C76" s="158"/>
      <c r="D76" s="158"/>
      <c r="E76" s="158"/>
      <c r="F76" s="158"/>
      <c r="G76" s="158"/>
      <c r="H76" s="158"/>
      <c r="I76" s="2112"/>
      <c r="J76" s="2551">
        <f>J69+0.01</f>
        <v>11.309999999999993</v>
      </c>
      <c r="K76" s="2785" t="s">
        <v>1717</v>
      </c>
      <c r="L76" s="2785"/>
      <c r="M76" s="2785"/>
      <c r="N76" s="2785"/>
      <c r="O76" s="2785"/>
      <c r="P76" s="2785"/>
      <c r="Q76" s="2785"/>
      <c r="R76" s="2787"/>
      <c r="S76" s="2458"/>
      <c r="T76" s="611">
        <v>6</v>
      </c>
      <c r="U76" s="1007" t="str">
        <f>CONCATENATE("Paraffine/Bois/Planche ► (", TEXT(ROUND(A101,2),"0.00"),")")</f>
        <v>Paraffine/Bois/Planche ► (11.42)</v>
      </c>
      <c r="V76" s="1071"/>
      <c r="W76" s="1071"/>
      <c r="X76" s="158"/>
      <c r="Y76" s="618"/>
      <c r="Z76" s="618"/>
      <c r="AA76" s="159"/>
      <c r="AB76" s="631"/>
    </row>
    <row r="77" spans="1:28" ht="12.5" x14ac:dyDescent="0.25">
      <c r="A77" s="2113">
        <v>7</v>
      </c>
      <c r="B77" s="1007" t="s">
        <v>1718</v>
      </c>
      <c r="C77" s="158"/>
      <c r="D77" s="158"/>
      <c r="E77" s="158"/>
      <c r="F77" s="158"/>
      <c r="G77" s="158"/>
      <c r="H77" s="158"/>
      <c r="I77" s="2112"/>
      <c r="J77" s="2358"/>
      <c r="K77" s="2358"/>
      <c r="L77" s="2358"/>
      <c r="M77" s="158" t="s">
        <v>478</v>
      </c>
      <c r="N77" s="158"/>
      <c r="O77" s="158"/>
      <c r="P77" s="624"/>
      <c r="Q77" s="158"/>
      <c r="R77" s="159"/>
      <c r="S77" s="621"/>
      <c r="T77" s="2507">
        <v>7</v>
      </c>
      <c r="U77" s="617" t="str">
        <f>CONCATENATE("Autre (à préciser)  ►(",TEXT(ROUND(A101,2),"0.00"),")")</f>
        <v>Autre (à préciser)  ►(11.42)</v>
      </c>
      <c r="V77" s="617"/>
      <c r="W77" s="1435"/>
      <c r="X77" s="617"/>
      <c r="Y77" s="617"/>
      <c r="Z77" s="617"/>
      <c r="AA77" s="361"/>
      <c r="AB77" s="631"/>
    </row>
    <row r="78" spans="1:28" ht="12.5" x14ac:dyDescent="0.25">
      <c r="A78" s="2113">
        <v>8</v>
      </c>
      <c r="B78" s="1007" t="s">
        <v>1719</v>
      </c>
      <c r="C78" s="158"/>
      <c r="D78" s="158"/>
      <c r="E78" s="158"/>
      <c r="F78" s="158"/>
      <c r="G78" s="158"/>
      <c r="H78" s="158"/>
      <c r="I78" s="2112"/>
      <c r="J78" s="158"/>
      <c r="K78" s="158"/>
      <c r="L78" s="158"/>
      <c r="M78" s="158" t="str">
        <f>CONCATENATE("2  Non ► (",ROUND(S47,2),")")</f>
        <v>2  Non ► (11.33)</v>
      </c>
      <c r="N78" s="158"/>
      <c r="O78" s="626"/>
      <c r="P78" s="158"/>
      <c r="Q78" s="158"/>
      <c r="R78" s="159"/>
      <c r="S78" s="2517">
        <f>S70+0.01</f>
        <v>11.379999999999992</v>
      </c>
      <c r="T78" s="3451" t="s">
        <v>1720</v>
      </c>
      <c r="U78" s="3451"/>
      <c r="V78" s="3451"/>
      <c r="W78" s="3451"/>
      <c r="X78" s="3451"/>
      <c r="Y78" s="3451"/>
      <c r="Z78" s="3451"/>
      <c r="AA78" s="3452"/>
      <c r="AB78" s="631"/>
    </row>
    <row r="79" spans="1:28" ht="13.5" customHeight="1" x14ac:dyDescent="0.25">
      <c r="A79" s="2113">
        <v>9</v>
      </c>
      <c r="B79" s="1007" t="s">
        <v>1721</v>
      </c>
      <c r="C79" s="158"/>
      <c r="D79" s="158"/>
      <c r="E79" s="158"/>
      <c r="F79" s="158"/>
      <c r="G79" s="158"/>
      <c r="H79" s="158"/>
      <c r="I79" s="2112"/>
      <c r="J79" s="158"/>
      <c r="K79" s="158"/>
      <c r="L79" s="158"/>
      <c r="M79" s="158" t="str">
        <f>CONCATENATE("3  Ne sait pas ► (",ROUND(S47,2),")")</f>
        <v>3  Ne sait pas ► (11.33)</v>
      </c>
      <c r="N79" s="158"/>
      <c r="O79" s="158"/>
      <c r="P79" s="158"/>
      <c r="Q79" s="158"/>
      <c r="R79" s="159"/>
      <c r="S79" s="610"/>
      <c r="T79" s="2785"/>
      <c r="U79" s="2785"/>
      <c r="V79" s="2785"/>
      <c r="W79" s="2785"/>
      <c r="X79" s="2785"/>
      <c r="Y79" s="2785"/>
      <c r="Z79" s="2785"/>
      <c r="AA79" s="2787"/>
      <c r="AB79" s="631"/>
    </row>
    <row r="80" spans="1:28" ht="13.5" customHeight="1" x14ac:dyDescent="0.25">
      <c r="A80" s="2113">
        <v>10</v>
      </c>
      <c r="B80" s="1007" t="s">
        <v>1722</v>
      </c>
      <c r="C80" s="158"/>
      <c r="D80" s="158"/>
      <c r="E80" s="158"/>
      <c r="F80" s="158"/>
      <c r="G80" s="158"/>
      <c r="H80" s="158"/>
      <c r="I80" s="2112"/>
      <c r="J80" s="2518">
        <f>J76+0.01</f>
        <v>11.319999999999993</v>
      </c>
      <c r="K80" s="3451" t="s">
        <v>1723</v>
      </c>
      <c r="L80" s="3451"/>
      <c r="M80" s="3451"/>
      <c r="N80" s="3451"/>
      <c r="O80" s="3451"/>
      <c r="P80" s="3451"/>
      <c r="Q80" s="3451"/>
      <c r="R80" s="3452"/>
      <c r="S80" s="1070"/>
      <c r="T80" s="1071"/>
      <c r="U80" s="1072"/>
      <c r="V80" s="1071"/>
      <c r="W80" s="158" t="s">
        <v>227</v>
      </c>
      <c r="X80" s="1071"/>
      <c r="Y80" s="1071"/>
      <c r="Z80" s="1071"/>
      <c r="AA80" s="1073"/>
      <c r="AB80" s="631"/>
    </row>
    <row r="81" spans="1:28" ht="12.5" x14ac:dyDescent="0.25">
      <c r="A81" s="2113"/>
      <c r="B81" s="1013" t="s">
        <v>1724</v>
      </c>
      <c r="C81" s="158"/>
      <c r="D81" s="158"/>
      <c r="E81" s="158"/>
      <c r="F81" s="158"/>
      <c r="G81" s="160" t="s">
        <v>1725</v>
      </c>
      <c r="H81" s="158"/>
      <c r="I81" s="2112"/>
      <c r="J81" s="2551"/>
      <c r="K81" s="2785"/>
      <c r="L81" s="2785"/>
      <c r="M81" s="2785"/>
      <c r="N81" s="2785"/>
      <c r="O81" s="2785"/>
      <c r="P81" s="2785"/>
      <c r="Q81" s="2785"/>
      <c r="R81" s="2787"/>
      <c r="S81" s="621"/>
      <c r="T81" s="1076"/>
      <c r="U81" s="1166"/>
      <c r="V81" s="1076"/>
      <c r="W81" s="617" t="str">
        <f>CONCATENATE("2 Non  ► (",TEXT(ROUND(A101,2),"0.00"),")")</f>
        <v>2 Non  ► (11.42)</v>
      </c>
      <c r="X81" s="1076"/>
      <c r="Y81" s="1076"/>
      <c r="Z81" s="1076"/>
      <c r="AA81" s="1079"/>
      <c r="AB81" s="631"/>
    </row>
    <row r="82" spans="1:28" ht="13.5" customHeight="1" x14ac:dyDescent="0.25">
      <c r="A82" s="2113">
        <v>11</v>
      </c>
      <c r="B82" s="1007" t="s">
        <v>1726</v>
      </c>
      <c r="C82" s="158"/>
      <c r="D82" s="158"/>
      <c r="E82" s="158"/>
      <c r="F82" s="158"/>
      <c r="G82" s="158"/>
      <c r="H82" s="158"/>
      <c r="I82" s="2112"/>
      <c r="J82" s="158"/>
      <c r="K82" s="3461" t="s">
        <v>1727</v>
      </c>
      <c r="L82" s="3461"/>
      <c r="M82" s="3461"/>
      <c r="N82" s="3461"/>
      <c r="O82" s="3461"/>
      <c r="P82" s="3461"/>
      <c r="Q82" s="3459" t="s">
        <v>1728</v>
      </c>
      <c r="R82" s="3460"/>
      <c r="S82" s="2517">
        <f>S78+0.01</f>
        <v>11.389999999999992</v>
      </c>
      <c r="T82" s="3451" t="s">
        <v>1729</v>
      </c>
      <c r="U82" s="3451"/>
      <c r="V82" s="3451"/>
      <c r="W82" s="3451"/>
      <c r="X82" s="3451"/>
      <c r="Y82" s="3451"/>
      <c r="Z82" s="3451"/>
      <c r="AA82" s="3452"/>
      <c r="AB82" s="631"/>
    </row>
    <row r="83" spans="1:28" ht="12.5" x14ac:dyDescent="0.25">
      <c r="A83" s="2113">
        <v>12</v>
      </c>
      <c r="B83" s="1007" t="s">
        <v>1730</v>
      </c>
      <c r="C83" s="158"/>
      <c r="D83" s="158"/>
      <c r="E83" s="158"/>
      <c r="F83" s="158"/>
      <c r="G83" s="158"/>
      <c r="H83" s="158"/>
      <c r="I83" s="2112"/>
      <c r="J83" s="606"/>
      <c r="K83" s="2369"/>
      <c r="L83" s="626" t="s">
        <v>74</v>
      </c>
      <c r="M83" s="158" t="s">
        <v>1731</v>
      </c>
      <c r="N83" s="158"/>
      <c r="O83" s="626"/>
      <c r="P83" s="624"/>
      <c r="Q83" s="2370"/>
      <c r="R83" s="791"/>
      <c r="S83" s="369"/>
      <c r="T83" s="2785"/>
      <c r="U83" s="2785"/>
      <c r="V83" s="2785"/>
      <c r="W83" s="2785"/>
      <c r="X83" s="2785"/>
      <c r="Y83" s="2785"/>
      <c r="Z83" s="2785"/>
      <c r="AA83" s="2787"/>
      <c r="AB83" s="631"/>
    </row>
    <row r="84" spans="1:28" ht="13.5" customHeight="1" x14ac:dyDescent="0.25">
      <c r="A84" s="2113">
        <v>13</v>
      </c>
      <c r="B84" s="1007" t="s">
        <v>1732</v>
      </c>
      <c r="C84" s="158"/>
      <c r="D84" s="158"/>
      <c r="E84" s="158"/>
      <c r="F84" s="158"/>
      <c r="G84" s="158"/>
      <c r="H84" s="158"/>
      <c r="I84" s="2112"/>
      <c r="J84" s="158"/>
      <c r="K84" s="158"/>
      <c r="L84" s="626" t="s">
        <v>109</v>
      </c>
      <c r="M84" s="158" t="s">
        <v>1733</v>
      </c>
      <c r="N84" s="158"/>
      <c r="O84" s="612"/>
      <c r="P84" s="612"/>
      <c r="Q84" s="159"/>
      <c r="R84" s="381"/>
      <c r="S84" s="369"/>
      <c r="T84" s="158"/>
      <c r="U84" s="158"/>
      <c r="V84" s="158"/>
      <c r="W84" s="160" t="s">
        <v>1734</v>
      </c>
      <c r="X84" s="158"/>
      <c r="Y84" s="158"/>
      <c r="Z84" s="158"/>
      <c r="AA84" s="159"/>
      <c r="AB84" s="631"/>
    </row>
    <row r="85" spans="1:28" ht="13.5" customHeight="1" x14ac:dyDescent="0.25">
      <c r="A85" s="2113"/>
      <c r="B85" s="1013" t="s">
        <v>1735</v>
      </c>
      <c r="C85" s="158"/>
      <c r="D85" s="158"/>
      <c r="E85" s="158"/>
      <c r="F85" s="158"/>
      <c r="G85" s="158"/>
      <c r="H85" s="158"/>
      <c r="I85" s="2112"/>
      <c r="J85" s="612"/>
      <c r="K85" s="612"/>
      <c r="L85" s="626" t="s">
        <v>131</v>
      </c>
      <c r="M85" s="158" t="s">
        <v>1736</v>
      </c>
      <c r="N85" s="158"/>
      <c r="O85" s="612"/>
      <c r="P85" s="612"/>
      <c r="Q85" s="620"/>
      <c r="R85" s="792"/>
      <c r="S85" s="1070"/>
      <c r="T85" s="1071"/>
      <c r="U85" s="2427"/>
      <c r="V85" s="2427"/>
      <c r="W85" s="2427"/>
      <c r="X85" s="2427"/>
      <c r="Y85" s="2427"/>
      <c r="Z85" s="2427"/>
      <c r="AA85" s="2428"/>
      <c r="AB85" s="631"/>
    </row>
    <row r="86" spans="1:28" ht="13.5" customHeight="1" x14ac:dyDescent="0.25">
      <c r="A86" s="2113">
        <v>14</v>
      </c>
      <c r="B86" s="1007" t="s">
        <v>1737</v>
      </c>
      <c r="C86" s="158"/>
      <c r="D86" s="158"/>
      <c r="E86" s="158"/>
      <c r="F86" s="158"/>
      <c r="G86" s="158"/>
      <c r="H86" s="158"/>
      <c r="I86" s="2112"/>
      <c r="J86" s="2551"/>
      <c r="K86" s="158"/>
      <c r="L86" s="626" t="s">
        <v>238</v>
      </c>
      <c r="M86" s="612" t="s">
        <v>1738</v>
      </c>
      <c r="N86" s="612"/>
      <c r="O86" s="158"/>
      <c r="P86" s="158"/>
      <c r="Q86" s="159"/>
      <c r="R86" s="381"/>
      <c r="S86" s="2517">
        <f>S82+0.01</f>
        <v>11.399999999999991</v>
      </c>
      <c r="T86" s="3479" t="s">
        <v>1739</v>
      </c>
      <c r="U86" s="3479"/>
      <c r="V86" s="3479"/>
      <c r="W86" s="3479"/>
      <c r="X86" s="3479"/>
      <c r="Y86" s="3479"/>
      <c r="Z86" s="3479"/>
      <c r="AA86" s="3480"/>
      <c r="AB86" s="631"/>
    </row>
    <row r="87" spans="1:28" ht="13.5" customHeight="1" x14ac:dyDescent="0.25">
      <c r="A87" s="2113">
        <v>15</v>
      </c>
      <c r="B87" s="1007" t="s">
        <v>1740</v>
      </c>
      <c r="C87" s="158"/>
      <c r="D87" s="158"/>
      <c r="E87" s="158"/>
      <c r="F87" s="158"/>
      <c r="G87" s="158"/>
      <c r="H87" s="158"/>
      <c r="I87" s="2112"/>
      <c r="J87" s="606"/>
      <c r="K87" s="158"/>
      <c r="L87" s="1175"/>
      <c r="M87" s="612" t="s">
        <v>1741</v>
      </c>
      <c r="N87" s="612"/>
      <c r="O87" s="158"/>
      <c r="P87" s="158"/>
      <c r="Q87" s="159"/>
      <c r="R87" s="174"/>
      <c r="S87" s="630"/>
      <c r="T87" s="2358"/>
      <c r="U87" s="2358"/>
      <c r="V87" s="2358"/>
      <c r="W87" s="2358"/>
      <c r="X87" s="2358"/>
      <c r="Y87" s="2358"/>
      <c r="Z87" s="2358"/>
      <c r="AA87" s="2347"/>
      <c r="AB87" s="631"/>
    </row>
    <row r="88" spans="1:28" ht="13.5" customHeight="1" x14ac:dyDescent="0.25">
      <c r="A88" s="2114">
        <v>16</v>
      </c>
      <c r="B88" s="2115" t="s">
        <v>1742</v>
      </c>
      <c r="C88" s="2116"/>
      <c r="D88" s="2116"/>
      <c r="E88" s="158"/>
      <c r="F88" s="158"/>
      <c r="G88" s="158"/>
      <c r="H88" s="158"/>
      <c r="I88" s="2112"/>
      <c r="J88" s="606"/>
      <c r="K88" s="158"/>
      <c r="L88" s="626" t="s">
        <v>239</v>
      </c>
      <c r="M88" s="611" t="s">
        <v>1743</v>
      </c>
      <c r="N88" s="158"/>
      <c r="O88" s="158"/>
      <c r="P88" s="158"/>
      <c r="Q88" s="159"/>
      <c r="R88" s="174"/>
      <c r="S88" s="369"/>
      <c r="T88" s="158"/>
      <c r="U88" s="158"/>
      <c r="V88" s="158"/>
      <c r="X88" s="78"/>
      <c r="Y88" s="78"/>
      <c r="Z88" s="158"/>
      <c r="AA88" s="159"/>
      <c r="AB88" s="631"/>
    </row>
    <row r="89" spans="1:28" ht="13.5" customHeight="1" x14ac:dyDescent="0.25">
      <c r="A89" s="2113">
        <v>17</v>
      </c>
      <c r="B89" s="1007" t="s">
        <v>1744</v>
      </c>
      <c r="C89" s="158"/>
      <c r="D89" s="158"/>
      <c r="E89" s="158"/>
      <c r="F89" s="158"/>
      <c r="G89" s="158"/>
      <c r="H89" s="158"/>
      <c r="I89" s="2112"/>
      <c r="J89" s="158"/>
      <c r="K89" s="158"/>
      <c r="L89" s="626" t="s">
        <v>426</v>
      </c>
      <c r="M89" s="158" t="s">
        <v>1745</v>
      </c>
      <c r="N89" s="158"/>
      <c r="O89" s="158"/>
      <c r="P89" s="158"/>
      <c r="Q89" s="159"/>
      <c r="R89" s="174"/>
      <c r="S89" s="369"/>
      <c r="T89" s="158"/>
      <c r="U89" s="158"/>
      <c r="V89" s="158"/>
      <c r="W89" s="78" t="s">
        <v>1746</v>
      </c>
      <c r="X89" s="78"/>
      <c r="Y89" s="78"/>
      <c r="Z89" s="158"/>
      <c r="AA89" s="159"/>
      <c r="AB89" s="631"/>
    </row>
    <row r="90" spans="1:28" x14ac:dyDescent="0.3">
      <c r="A90" s="2190">
        <v>18</v>
      </c>
      <c r="B90" s="2175" t="s">
        <v>1601</v>
      </c>
      <c r="C90" s="2191"/>
      <c r="D90" s="2191"/>
      <c r="E90" s="2191"/>
      <c r="F90" s="2192"/>
      <c r="G90" s="2192"/>
      <c r="H90" s="2193"/>
      <c r="I90" s="2194"/>
      <c r="J90" s="2176"/>
      <c r="K90" s="2176"/>
      <c r="L90" s="2195" t="s">
        <v>427</v>
      </c>
      <c r="M90" s="2176" t="s">
        <v>1601</v>
      </c>
      <c r="N90" s="2176"/>
      <c r="O90" s="2176"/>
      <c r="P90" s="2176"/>
      <c r="Q90" s="2196"/>
      <c r="R90" s="2197"/>
      <c r="S90" s="2198"/>
      <c r="T90" s="2176"/>
      <c r="U90" s="2176"/>
      <c r="V90" s="2176"/>
      <c r="W90" s="2199"/>
      <c r="X90" s="2199"/>
      <c r="Y90" s="2199"/>
      <c r="Z90" s="2176"/>
      <c r="AA90" s="2196"/>
      <c r="AB90" s="631"/>
    </row>
    <row r="91" spans="1:28" x14ac:dyDescent="0.3">
      <c r="A91" s="2189"/>
      <c r="B91" s="1072"/>
      <c r="C91" s="1071"/>
      <c r="D91" s="1071"/>
      <c r="E91" s="1071"/>
      <c r="F91" s="1164"/>
      <c r="G91" s="1164"/>
      <c r="H91" s="1165"/>
      <c r="I91" s="1071"/>
      <c r="J91" s="158"/>
      <c r="K91" s="158"/>
      <c r="L91" s="626"/>
      <c r="M91" s="158"/>
      <c r="N91" s="158"/>
      <c r="O91" s="158"/>
      <c r="P91" s="158"/>
      <c r="Q91" s="158"/>
      <c r="R91" s="158"/>
      <c r="S91" s="158"/>
      <c r="T91" s="158"/>
      <c r="U91" s="158"/>
      <c r="V91" s="158"/>
      <c r="W91" s="78"/>
      <c r="X91" s="78"/>
      <c r="Y91" s="78"/>
      <c r="Z91" s="158"/>
      <c r="AA91" s="158"/>
      <c r="AB91" s="631"/>
    </row>
    <row r="92" spans="1:28" x14ac:dyDescent="0.3">
      <c r="J92" s="158"/>
      <c r="K92" s="158"/>
      <c r="L92" s="626"/>
      <c r="M92" s="158"/>
      <c r="N92" s="158"/>
      <c r="O92" s="158"/>
      <c r="P92" s="158"/>
      <c r="Q92" s="158"/>
      <c r="R92" s="158"/>
      <c r="S92" s="158"/>
      <c r="T92" s="158"/>
      <c r="U92" s="158"/>
      <c r="V92" s="158"/>
      <c r="W92" s="78"/>
      <c r="X92" s="78"/>
      <c r="Y92" s="78"/>
      <c r="Z92" s="158"/>
      <c r="AA92" s="158"/>
      <c r="AB92" s="631"/>
    </row>
    <row r="93" spans="1:28" x14ac:dyDescent="0.3">
      <c r="J93" s="158"/>
      <c r="K93" s="158"/>
      <c r="L93" s="626"/>
      <c r="M93" s="158"/>
      <c r="N93" s="158"/>
      <c r="O93" s="158"/>
      <c r="P93" s="158"/>
      <c r="Q93" s="158"/>
      <c r="R93" s="158"/>
      <c r="S93" s="158"/>
      <c r="T93" s="158"/>
      <c r="U93" s="158"/>
      <c r="V93" s="158"/>
      <c r="W93" s="78"/>
      <c r="X93" s="78"/>
      <c r="Y93" s="78"/>
      <c r="Z93" s="158"/>
      <c r="AA93" s="158"/>
      <c r="AB93" s="631"/>
    </row>
    <row r="94" spans="1:28" x14ac:dyDescent="0.3">
      <c r="J94" s="158"/>
      <c r="K94" s="158"/>
      <c r="L94" s="626"/>
      <c r="M94" s="158"/>
      <c r="N94" s="158"/>
      <c r="O94" s="158"/>
      <c r="P94" s="158"/>
      <c r="Q94" s="158"/>
      <c r="R94" s="158"/>
      <c r="S94" s="158"/>
      <c r="T94" s="158"/>
      <c r="U94" s="158"/>
      <c r="V94" s="158"/>
      <c r="W94" s="158"/>
      <c r="X94" s="158"/>
      <c r="Y94" s="158"/>
      <c r="Z94" s="158"/>
      <c r="AA94" s="158"/>
      <c r="AB94" s="631"/>
    </row>
    <row r="95" spans="1:28" ht="12.5" x14ac:dyDescent="0.25">
      <c r="A95" s="2517">
        <f>S86+0.01</f>
        <v>11.409999999999991</v>
      </c>
      <c r="B95" s="151" t="s">
        <v>1747</v>
      </c>
      <c r="C95" s="151"/>
      <c r="D95" s="151"/>
      <c r="E95" s="151"/>
      <c r="F95" s="151"/>
      <c r="G95" s="151"/>
      <c r="H95" s="151"/>
      <c r="I95" s="152"/>
      <c r="J95" s="2517">
        <f>A128+0.01</f>
        <v>11.47999999999999</v>
      </c>
      <c r="K95" s="3464" t="s">
        <v>1748</v>
      </c>
      <c r="L95" s="3464"/>
      <c r="M95" s="3464"/>
      <c r="N95" s="3464"/>
      <c r="O95" s="3464"/>
      <c r="P95" s="3464"/>
      <c r="Q95" s="3464"/>
      <c r="R95" s="3465"/>
      <c r="S95" s="2517">
        <f>J129+0.01</f>
        <v>11.539999999999988</v>
      </c>
      <c r="T95" s="625" t="s">
        <v>1749</v>
      </c>
      <c r="U95" s="151"/>
      <c r="V95" s="151"/>
      <c r="W95" s="151"/>
      <c r="X95" s="151"/>
      <c r="Y95" s="151"/>
      <c r="Z95" s="151"/>
      <c r="AA95" s="2510"/>
      <c r="AB95" s="631"/>
    </row>
    <row r="96" spans="1:28" ht="12.5" x14ac:dyDescent="0.25">
      <c r="A96" s="369"/>
      <c r="B96" s="160">
        <v>1</v>
      </c>
      <c r="C96" s="158" t="s">
        <v>1750</v>
      </c>
      <c r="D96" s="158"/>
      <c r="E96" s="158"/>
      <c r="F96" s="158"/>
      <c r="G96" s="158"/>
      <c r="H96" s="158"/>
      <c r="I96" s="159"/>
      <c r="J96" s="369"/>
      <c r="K96" s="158">
        <v>1</v>
      </c>
      <c r="L96" s="158" t="s">
        <v>1751</v>
      </c>
      <c r="M96" s="158"/>
      <c r="N96" s="158"/>
      <c r="O96" s="158"/>
      <c r="P96" s="158"/>
      <c r="Q96" s="158"/>
      <c r="R96" s="159"/>
      <c r="S96" s="3481" t="s">
        <v>1752</v>
      </c>
      <c r="T96" s="3475"/>
      <c r="U96" s="3475"/>
      <c r="V96" s="3475"/>
      <c r="W96" s="3475"/>
      <c r="X96" s="1014"/>
      <c r="Y96" s="1014"/>
      <c r="Z96" s="1014"/>
      <c r="AA96" s="159"/>
      <c r="AB96" s="631"/>
    </row>
    <row r="97" spans="1:28" ht="13.5" customHeight="1" x14ac:dyDescent="0.25">
      <c r="A97" s="369"/>
      <c r="B97" s="160">
        <v>2</v>
      </c>
      <c r="C97" s="158" t="s">
        <v>1753</v>
      </c>
      <c r="D97" s="158"/>
      <c r="E97" s="158"/>
      <c r="F97" s="158"/>
      <c r="G97" s="158"/>
      <c r="H97" s="158"/>
      <c r="I97" s="159"/>
      <c r="J97" s="630"/>
      <c r="K97" s="158">
        <v>2</v>
      </c>
      <c r="L97" s="158" t="s">
        <v>1754</v>
      </c>
      <c r="M97" s="626"/>
      <c r="N97" s="158"/>
      <c r="O97" s="158"/>
      <c r="P97" s="158"/>
      <c r="Q97" s="158"/>
      <c r="R97" s="159"/>
      <c r="S97" s="3481" t="s">
        <v>1755</v>
      </c>
      <c r="T97" s="3475"/>
      <c r="U97" s="3475"/>
      <c r="V97" s="3475"/>
      <c r="W97" s="3475"/>
      <c r="X97" s="3475" t="s">
        <v>1756</v>
      </c>
      <c r="Y97" s="3475"/>
      <c r="Z97" s="3475"/>
      <c r="AA97" s="3476"/>
      <c r="AB97" s="631"/>
    </row>
    <row r="98" spans="1:28" ht="12.5" x14ac:dyDescent="0.25">
      <c r="A98" s="369"/>
      <c r="B98" s="160">
        <v>3</v>
      </c>
      <c r="C98" s="158" t="s">
        <v>1757</v>
      </c>
      <c r="D98" s="158"/>
      <c r="E98" s="158"/>
      <c r="F98" s="158"/>
      <c r="G98" s="158"/>
      <c r="H98" s="158"/>
      <c r="I98" s="159"/>
      <c r="J98" s="614"/>
      <c r="K98" s="612">
        <v>3</v>
      </c>
      <c r="L98" s="158" t="s">
        <v>1758</v>
      </c>
      <c r="M98" s="158"/>
      <c r="N98" s="158"/>
      <c r="O98" s="158"/>
      <c r="P98" s="158"/>
      <c r="Q98" s="612"/>
      <c r="R98" s="620"/>
      <c r="S98" s="1433" t="s">
        <v>1759</v>
      </c>
      <c r="T98" s="1015"/>
      <c r="U98" s="1015"/>
      <c r="V98" s="1015"/>
      <c r="W98" s="1015"/>
      <c r="X98" s="3475" t="s">
        <v>1760</v>
      </c>
      <c r="Y98" s="3475"/>
      <c r="Z98" s="3475"/>
      <c r="AA98" s="3476"/>
      <c r="AB98" s="631"/>
    </row>
    <row r="99" spans="1:28" ht="12.5" x14ac:dyDescent="0.25">
      <c r="A99" s="369"/>
      <c r="B99" s="160">
        <v>4</v>
      </c>
      <c r="C99" s="158" t="s">
        <v>1761</v>
      </c>
      <c r="D99" s="158"/>
      <c r="E99" s="158"/>
      <c r="F99" s="158"/>
      <c r="G99" s="158"/>
      <c r="H99" s="158"/>
      <c r="I99" s="159"/>
      <c r="J99" s="614"/>
      <c r="K99" s="612">
        <v>4</v>
      </c>
      <c r="L99" s="158" t="s">
        <v>1762</v>
      </c>
      <c r="M99" s="158"/>
      <c r="N99" s="158"/>
      <c r="O99" s="158"/>
      <c r="P99" s="158"/>
      <c r="Q99" s="612"/>
      <c r="R99" s="620"/>
      <c r="S99" s="1433" t="s">
        <v>1763</v>
      </c>
      <c r="T99" s="612"/>
      <c r="U99" s="615"/>
      <c r="V99" s="612"/>
      <c r="W99" s="612"/>
      <c r="X99" s="3475" t="str">
        <f>CONCATENATE("10. Toilettes publiques ►","(",TEXT(S120,"0.00"),")")</f>
        <v>10. Toilettes publiques ►(11.59)</v>
      </c>
      <c r="Y99" s="3475"/>
      <c r="Z99" s="3475"/>
      <c r="AA99" s="3476"/>
      <c r="AB99" s="1338"/>
    </row>
    <row r="100" spans="1:28" ht="12.5" x14ac:dyDescent="0.25">
      <c r="A100" s="369"/>
      <c r="B100" s="160">
        <v>5</v>
      </c>
      <c r="C100" s="158" t="s">
        <v>1764</v>
      </c>
      <c r="D100" s="158"/>
      <c r="E100" s="158"/>
      <c r="F100" s="158"/>
      <c r="G100" s="158"/>
      <c r="H100" s="158"/>
      <c r="I100" s="159"/>
      <c r="J100" s="614"/>
      <c r="K100" s="2427">
        <v>5</v>
      </c>
      <c r="L100" s="1069" t="s">
        <v>1765</v>
      </c>
      <c r="M100" s="1069"/>
      <c r="N100" s="2427"/>
      <c r="O100" s="2427"/>
      <c r="P100" s="2427"/>
      <c r="Q100" s="612"/>
      <c r="R100" s="620"/>
      <c r="S100" s="636" t="s">
        <v>1766</v>
      </c>
      <c r="T100" s="612"/>
      <c r="U100" s="615"/>
      <c r="V100" s="612"/>
      <c r="W100" s="612"/>
      <c r="X100" s="1071"/>
      <c r="Y100" s="3477" t="str">
        <f>CONCATENATE("11. Aucune toilette (dans la nature)► (",TEXT(ROUND(S120,2),"0.00"),")")</f>
        <v>11. Aucune toilette (dans la nature)► (11.59)</v>
      </c>
      <c r="Z100" s="3477"/>
      <c r="AA100" s="3478"/>
      <c r="AB100" s="1338"/>
    </row>
    <row r="101" spans="1:28" ht="12.5" x14ac:dyDescent="0.25">
      <c r="A101" s="2517">
        <f>A95+0.01</f>
        <v>11.419999999999991</v>
      </c>
      <c r="B101" s="3451" t="s">
        <v>1767</v>
      </c>
      <c r="C101" s="3451"/>
      <c r="D101" s="3451"/>
      <c r="E101" s="3451"/>
      <c r="F101" s="3451"/>
      <c r="G101" s="3451"/>
      <c r="H101" s="3451"/>
      <c r="I101" s="3452"/>
      <c r="J101" s="2550">
        <f>J95+0.01</f>
        <v>11.48999999999999</v>
      </c>
      <c r="K101" s="3462" t="s">
        <v>1768</v>
      </c>
      <c r="L101" s="3462"/>
      <c r="M101" s="3462"/>
      <c r="N101" s="3462"/>
      <c r="O101" s="3462"/>
      <c r="P101" s="3462"/>
      <c r="Q101" s="3462"/>
      <c r="R101" s="3463"/>
      <c r="S101" s="636" t="s">
        <v>1769</v>
      </c>
      <c r="T101" s="1015"/>
      <c r="U101" s="1015"/>
      <c r="V101" s="1015"/>
      <c r="W101" s="1015"/>
      <c r="X101" s="1071"/>
      <c r="Y101" s="3477"/>
      <c r="Z101" s="3477"/>
      <c r="AA101" s="3478"/>
      <c r="AB101" s="158"/>
    </row>
    <row r="102" spans="1:28" ht="13.5" customHeight="1" x14ac:dyDescent="0.25">
      <c r="A102" s="369"/>
      <c r="B102" s="2369"/>
      <c r="C102" s="158">
        <v>1</v>
      </c>
      <c r="D102" s="158" t="s">
        <v>1197</v>
      </c>
      <c r="E102" s="158"/>
      <c r="F102" s="2369"/>
      <c r="G102" s="2369"/>
      <c r="H102" s="2369"/>
      <c r="I102" s="2370"/>
      <c r="J102" s="2137"/>
      <c r="K102" s="2820"/>
      <c r="L102" s="2820"/>
      <c r="M102" s="2820"/>
      <c r="N102" s="2820"/>
      <c r="O102" s="2820"/>
      <c r="P102" s="2820"/>
      <c r="Q102" s="2820"/>
      <c r="R102" s="3072"/>
      <c r="S102" s="1176" t="s">
        <v>1770</v>
      </c>
      <c r="T102" s="1434"/>
      <c r="U102" s="1434"/>
      <c r="V102" s="1434"/>
      <c r="W102" s="1434"/>
      <c r="X102" s="1076"/>
      <c r="Y102" s="3473" t="s">
        <v>1771</v>
      </c>
      <c r="Z102" s="3473"/>
      <c r="AA102" s="3474"/>
      <c r="AB102" s="631"/>
    </row>
    <row r="103" spans="1:28" ht="12.5" x14ac:dyDescent="0.25">
      <c r="A103" s="369"/>
      <c r="B103" s="1005"/>
      <c r="C103" s="158">
        <v>2</v>
      </c>
      <c r="D103" s="158" t="str">
        <f>CONCATENATE("Non  ► (",ROUND(A120,2),")")</f>
        <v>Non  ► (11.45)</v>
      </c>
      <c r="E103" s="158"/>
      <c r="F103" s="1005"/>
      <c r="G103" s="1005"/>
      <c r="H103" s="1005"/>
      <c r="I103" s="1006"/>
      <c r="J103" s="2137"/>
      <c r="K103" s="2019">
        <v>1</v>
      </c>
      <c r="L103" s="2019" t="s">
        <v>1197</v>
      </c>
      <c r="M103" s="2019"/>
      <c r="N103" s="2138"/>
      <c r="O103" s="2138"/>
      <c r="P103" s="2141"/>
      <c r="Q103" s="2019"/>
      <c r="R103" s="2071"/>
      <c r="S103" s="2518">
        <f>S95+0.01</f>
        <v>11.549999999999988</v>
      </c>
      <c r="T103" s="3470" t="s">
        <v>1772</v>
      </c>
      <c r="U103" s="3470"/>
      <c r="V103" s="3470"/>
      <c r="W103" s="3470"/>
      <c r="X103" s="3470"/>
      <c r="Y103" s="3470"/>
      <c r="Z103" s="3470"/>
      <c r="AA103" s="3471"/>
      <c r="AB103" s="631"/>
    </row>
    <row r="104" spans="1:28" ht="12.5" x14ac:dyDescent="0.25">
      <c r="A104" s="621"/>
      <c r="B104" s="617"/>
      <c r="C104" s="617"/>
      <c r="D104" s="617"/>
      <c r="E104" s="617"/>
      <c r="F104" s="617"/>
      <c r="G104" s="617"/>
      <c r="H104" s="617"/>
      <c r="I104" s="361"/>
      <c r="J104" s="2142"/>
      <c r="K104" s="2019">
        <v>2</v>
      </c>
      <c r="L104" s="2019" t="s">
        <v>1198</v>
      </c>
      <c r="M104" s="3482" t="str">
        <f>CONCATENATE("► (",TEXT(ROUND(J119,2),"0.00"),")")</f>
        <v>► (11.52)</v>
      </c>
      <c r="N104" s="3482"/>
      <c r="O104" s="2143"/>
      <c r="P104" s="2144"/>
      <c r="Q104" s="2144"/>
      <c r="R104" s="2145"/>
      <c r="S104" s="612"/>
      <c r="T104" s="612"/>
      <c r="U104" s="158">
        <v>1</v>
      </c>
      <c r="V104" s="158" t="s">
        <v>1197</v>
      </c>
      <c r="W104" s="158"/>
      <c r="X104" s="158"/>
      <c r="Y104" s="158"/>
      <c r="Z104" s="158"/>
      <c r="AA104" s="159"/>
      <c r="AB104" s="631"/>
    </row>
    <row r="105" spans="1:28" ht="13.5" customHeight="1" x14ac:dyDescent="0.25">
      <c r="A105" s="2517">
        <f>A101+0.01</f>
        <v>11.429999999999991</v>
      </c>
      <c r="B105" s="3451" t="s">
        <v>1773</v>
      </c>
      <c r="C105" s="3451"/>
      <c r="D105" s="3451"/>
      <c r="E105" s="3451"/>
      <c r="F105" s="3451"/>
      <c r="G105" s="3451"/>
      <c r="H105" s="3451"/>
      <c r="I105" s="3452"/>
      <c r="J105" s="2517">
        <f>J101+0.01</f>
        <v>11.499999999999989</v>
      </c>
      <c r="K105" s="3451" t="s">
        <v>1774</v>
      </c>
      <c r="L105" s="3451"/>
      <c r="M105" s="3451"/>
      <c r="N105" s="3451"/>
      <c r="O105" s="3451"/>
      <c r="P105" s="3451"/>
      <c r="Q105" s="3451"/>
      <c r="R105" s="3452"/>
      <c r="S105" s="612"/>
      <c r="T105" s="612"/>
      <c r="U105" s="158">
        <v>2</v>
      </c>
      <c r="V105" s="158" t="s">
        <v>1198</v>
      </c>
      <c r="W105" s="618" t="s">
        <v>1673</v>
      </c>
      <c r="X105" s="624">
        <f>S109</f>
        <v>11.569999999999988</v>
      </c>
      <c r="Y105" s="612"/>
      <c r="Z105" s="158"/>
      <c r="AA105" s="159"/>
      <c r="AB105" s="631"/>
    </row>
    <row r="106" spans="1:28" ht="12.5" x14ac:dyDescent="0.25">
      <c r="A106" s="610"/>
      <c r="B106" s="2785"/>
      <c r="C106" s="2785"/>
      <c r="D106" s="2785"/>
      <c r="E106" s="2785"/>
      <c r="F106" s="2785"/>
      <c r="G106" s="2785"/>
      <c r="H106" s="2785"/>
      <c r="I106" s="2787"/>
      <c r="J106" s="630"/>
      <c r="K106" s="2785"/>
      <c r="L106" s="2785"/>
      <c r="M106" s="2785"/>
      <c r="N106" s="2785"/>
      <c r="O106" s="2785"/>
      <c r="P106" s="2785"/>
      <c r="Q106" s="2785"/>
      <c r="R106" s="2787"/>
      <c r="S106" s="2518">
        <f>S103+0.01</f>
        <v>11.559999999999988</v>
      </c>
      <c r="T106" s="625" t="s">
        <v>1775</v>
      </c>
      <c r="U106" s="151"/>
      <c r="V106" s="151"/>
      <c r="W106" s="151"/>
      <c r="X106" s="151"/>
      <c r="Y106" s="151"/>
      <c r="Z106" s="151"/>
      <c r="AA106" s="152"/>
      <c r="AB106" s="631"/>
    </row>
    <row r="107" spans="1:28" ht="12.5" x14ac:dyDescent="0.25">
      <c r="A107" s="610"/>
      <c r="B107" s="1005"/>
      <c r="C107" s="1005"/>
      <c r="D107" s="158" t="s">
        <v>478</v>
      </c>
      <c r="E107" s="3305" t="str">
        <f>CONCATENATE("► (",ROUND(A120,2),")")</f>
        <v>► (11.45)</v>
      </c>
      <c r="F107" s="3305"/>
      <c r="G107" s="1005"/>
      <c r="H107" s="1005"/>
      <c r="I107" s="1006"/>
      <c r="J107" s="369"/>
      <c r="K107" s="158">
        <v>1</v>
      </c>
      <c r="L107" s="158" t="str">
        <f>CONCATENATE("Oui ► (",TEXT(ROUND(J119,2),"0.00"),")")</f>
        <v>Oui ► (11.52)</v>
      </c>
      <c r="M107" s="626"/>
      <c r="N107" s="612"/>
      <c r="O107" s="2427"/>
      <c r="P107" s="2427"/>
      <c r="Q107" s="2427"/>
      <c r="R107" s="2428"/>
      <c r="S107" s="612"/>
      <c r="T107" s="612"/>
      <c r="U107" s="158" t="s">
        <v>1776</v>
      </c>
      <c r="V107" s="158"/>
      <c r="W107" s="158"/>
      <c r="X107" s="612"/>
      <c r="Y107" s="248"/>
      <c r="Z107" s="1017"/>
      <c r="AA107" s="1018"/>
      <c r="AB107" s="631"/>
    </row>
    <row r="108" spans="1:28" ht="12.5" x14ac:dyDescent="0.25">
      <c r="A108" s="610"/>
      <c r="B108" s="1005"/>
      <c r="C108" s="1005"/>
      <c r="D108" s="158" t="s">
        <v>487</v>
      </c>
      <c r="E108" s="158"/>
      <c r="F108" s="158"/>
      <c r="G108" s="1005"/>
      <c r="H108" s="1005"/>
      <c r="I108" s="1006"/>
      <c r="J108" s="630"/>
      <c r="K108" s="158">
        <v>2</v>
      </c>
      <c r="L108" s="158" t="s">
        <v>1198</v>
      </c>
      <c r="M108" s="158"/>
      <c r="N108" s="612"/>
      <c r="O108" s="158"/>
      <c r="P108" s="158"/>
      <c r="Q108" s="158"/>
      <c r="R108" s="159"/>
      <c r="S108" s="612"/>
      <c r="T108" s="612"/>
      <c r="Y108" s="1017"/>
      <c r="Z108" s="1017"/>
      <c r="AA108" s="1018"/>
      <c r="AB108" s="631"/>
    </row>
    <row r="109" spans="1:28" ht="13.5" customHeight="1" x14ac:dyDescent="0.25">
      <c r="A109" s="610"/>
      <c r="B109" s="1005"/>
      <c r="C109" s="1005"/>
      <c r="D109" s="3305" t="s">
        <v>1777</v>
      </c>
      <c r="E109" s="3305"/>
      <c r="F109" s="3305"/>
      <c r="G109" s="1005"/>
      <c r="H109" s="1005"/>
      <c r="I109" s="1005"/>
      <c r="J109" s="610"/>
      <c r="K109" s="158">
        <v>3</v>
      </c>
      <c r="L109" s="158" t="s">
        <v>1675</v>
      </c>
      <c r="M109" s="158"/>
      <c r="N109" s="612"/>
      <c r="O109" s="158"/>
      <c r="P109" s="158"/>
      <c r="Q109" s="158"/>
      <c r="R109" s="159"/>
      <c r="S109" s="2550">
        <f>S106+0.01</f>
        <v>11.569999999999988</v>
      </c>
      <c r="T109" s="2133" t="s">
        <v>2753</v>
      </c>
      <c r="U109" s="2134"/>
      <c r="V109" s="2134"/>
      <c r="W109" s="2134"/>
      <c r="X109" s="2133"/>
      <c r="Y109" s="2135"/>
      <c r="Z109" s="2135"/>
      <c r="AA109" s="2136"/>
      <c r="AB109" s="631"/>
    </row>
    <row r="110" spans="1:28" ht="12.5" x14ac:dyDescent="0.25">
      <c r="A110" s="2517">
        <f>A105+0.01</f>
        <v>11.439999999999991</v>
      </c>
      <c r="B110" s="3451" t="s">
        <v>1778</v>
      </c>
      <c r="C110" s="3451"/>
      <c r="D110" s="3451"/>
      <c r="E110" s="3451"/>
      <c r="F110" s="3451"/>
      <c r="G110" s="3451"/>
      <c r="H110" s="3451"/>
      <c r="I110" s="3451"/>
      <c r="J110" s="2517">
        <f>J105+0.01</f>
        <v>11.509999999999989</v>
      </c>
      <c r="K110" s="2509" t="s">
        <v>1779</v>
      </c>
      <c r="L110" s="1019"/>
      <c r="M110" s="151"/>
      <c r="N110" s="151"/>
      <c r="O110" s="151"/>
      <c r="P110" s="607"/>
      <c r="Q110" s="151"/>
      <c r="R110" s="152"/>
      <c r="S110" s="2137"/>
      <c r="T110" s="2138" t="str">
        <f>CONCATENATE("1 Egout ►", "(",TEXT(S120, "0.00"), ")")</f>
        <v>1 Egout ►(11.59)</v>
      </c>
      <c r="U110" s="2019"/>
      <c r="V110" s="2019"/>
      <c r="W110" s="2019"/>
      <c r="X110" s="2138" t="str">
        <f>CONCATENATE("6 Rue/Cour/Caniveau/Nature ►", "(",TEXT(S120, "0.00"), ")")</f>
        <v>6 Rue/Cour/Caniveau/Nature ►(11.59)</v>
      </c>
      <c r="Y110" s="2139"/>
      <c r="Z110" s="2139"/>
      <c r="AA110" s="2140"/>
      <c r="AB110" s="631"/>
    </row>
    <row r="111" spans="1:28" ht="12.5" x14ac:dyDescent="0.25">
      <c r="A111" s="610"/>
      <c r="B111" s="2785"/>
      <c r="C111" s="2785"/>
      <c r="D111" s="2785"/>
      <c r="E111" s="2785"/>
      <c r="F111" s="2785"/>
      <c r="G111" s="2785"/>
      <c r="H111" s="2785"/>
      <c r="I111" s="2785"/>
      <c r="J111" s="610"/>
      <c r="K111" s="611"/>
      <c r="L111" s="1007"/>
      <c r="M111" s="158"/>
      <c r="N111" s="158"/>
      <c r="O111" s="158"/>
      <c r="P111" s="611"/>
      <c r="Q111" s="158"/>
      <c r="R111" s="159"/>
      <c r="S111" s="2137"/>
      <c r="T111" s="2138" t="s">
        <v>1780</v>
      </c>
      <c r="U111" s="2019"/>
      <c r="V111" s="2019"/>
      <c r="W111" s="2019"/>
      <c r="X111" s="2138" t="s">
        <v>1781</v>
      </c>
      <c r="Y111" s="2139"/>
      <c r="Z111" s="2139"/>
      <c r="AA111" s="2140"/>
      <c r="AB111" s="631"/>
    </row>
    <row r="112" spans="1:28" ht="12.5" x14ac:dyDescent="0.25">
      <c r="A112" s="610"/>
      <c r="B112" s="1005"/>
      <c r="C112" s="1005"/>
      <c r="D112" s="1005"/>
      <c r="E112" s="1005"/>
      <c r="F112" s="1005"/>
      <c r="G112" s="1005"/>
      <c r="H112" s="1005"/>
      <c r="I112" s="1005"/>
      <c r="J112" s="636"/>
      <c r="K112" s="611"/>
      <c r="L112" s="1007"/>
      <c r="M112" s="612"/>
      <c r="N112" s="612"/>
      <c r="O112" s="612"/>
      <c r="P112" s="612"/>
      <c r="Q112" s="612"/>
      <c r="R112" s="620"/>
      <c r="S112" s="2137"/>
      <c r="T112" s="2138" t="s">
        <v>1782</v>
      </c>
      <c r="U112" s="2019"/>
      <c r="V112" s="2019"/>
      <c r="W112" s="2019"/>
      <c r="X112" s="2138"/>
      <c r="Y112" s="2139"/>
      <c r="Z112" s="2139"/>
      <c r="AA112" s="2140"/>
      <c r="AB112" s="631"/>
    </row>
    <row r="113" spans="1:28" ht="12.5" x14ac:dyDescent="0.25">
      <c r="A113" s="610"/>
      <c r="B113" s="1005"/>
      <c r="C113" s="1005"/>
      <c r="D113" s="158"/>
      <c r="E113" s="3305"/>
      <c r="F113" s="3305"/>
      <c r="G113" s="1005"/>
      <c r="H113" s="1005"/>
      <c r="I113" s="1005"/>
      <c r="J113" s="636"/>
      <c r="K113" s="611"/>
      <c r="L113" s="1007"/>
      <c r="M113" s="612"/>
      <c r="N113" s="612"/>
      <c r="O113" s="612"/>
      <c r="P113" s="612"/>
      <c r="Q113" s="612"/>
      <c r="R113" s="620"/>
      <c r="S113" s="2137"/>
      <c r="T113" s="2138" t="s">
        <v>1783</v>
      </c>
      <c r="U113" s="2019"/>
      <c r="V113" s="2019"/>
      <c r="W113" s="2019"/>
      <c r="X113" s="2138"/>
      <c r="Y113" s="2139"/>
      <c r="Z113" s="2139"/>
      <c r="AA113" s="2140"/>
      <c r="AB113" s="631"/>
    </row>
    <row r="114" spans="1:28" ht="13.5" customHeight="1" x14ac:dyDescent="0.3">
      <c r="A114" s="610"/>
      <c r="J114" s="636"/>
      <c r="K114" s="613" t="s">
        <v>1682</v>
      </c>
      <c r="L114" s="2508"/>
      <c r="M114" s="160"/>
      <c r="N114" s="158"/>
      <c r="O114" s="158"/>
      <c r="P114" s="612"/>
      <c r="Q114" s="612"/>
      <c r="R114" s="620"/>
      <c r="S114" s="2137"/>
      <c r="T114" s="2138" t="s">
        <v>1784</v>
      </c>
      <c r="U114" s="2019"/>
      <c r="V114" s="2019"/>
      <c r="W114" s="2019"/>
      <c r="X114" s="2138"/>
      <c r="Y114" s="2139"/>
      <c r="Z114" s="2139"/>
      <c r="AA114" s="2140"/>
      <c r="AB114" s="631"/>
    </row>
    <row r="115" spans="1:28" ht="12.5" x14ac:dyDescent="0.25">
      <c r="A115" s="610"/>
      <c r="B115" s="613" t="s">
        <v>1682</v>
      </c>
      <c r="C115" s="2508"/>
      <c r="D115" s="160"/>
      <c r="E115" s="158"/>
      <c r="F115" s="158"/>
      <c r="G115" s="1005"/>
      <c r="H115" s="1005"/>
      <c r="I115" s="1005"/>
      <c r="J115" s="636"/>
      <c r="K115" s="612" t="s">
        <v>1683</v>
      </c>
      <c r="L115" s="1072"/>
      <c r="M115" s="1071"/>
      <c r="N115" s="1071"/>
      <c r="O115" s="158"/>
      <c r="P115" s="612"/>
      <c r="Q115" s="612"/>
      <c r="R115" s="620"/>
      <c r="S115" s="2518">
        <f>S109+0.01</f>
        <v>11.579999999999988</v>
      </c>
      <c r="T115" s="3492" t="s">
        <v>2754</v>
      </c>
      <c r="U115" s="3492"/>
      <c r="V115" s="3492"/>
      <c r="W115" s="3492"/>
      <c r="X115" s="3492"/>
      <c r="Y115" s="3492"/>
      <c r="Z115" s="3492"/>
      <c r="AA115" s="3493"/>
      <c r="AB115" s="631"/>
    </row>
    <row r="116" spans="1:28" ht="13.5" customHeight="1" x14ac:dyDescent="0.25">
      <c r="A116" s="610"/>
      <c r="B116" s="612" t="s">
        <v>1683</v>
      </c>
      <c r="C116" s="1072"/>
      <c r="D116" s="1071"/>
      <c r="E116" s="1071"/>
      <c r="F116" s="158"/>
      <c r="G116" s="1005"/>
      <c r="H116" s="1005"/>
      <c r="I116" s="1005"/>
      <c r="J116" s="636"/>
      <c r="K116" s="612" t="s">
        <v>1685</v>
      </c>
      <c r="L116" s="1072"/>
      <c r="M116" s="1071"/>
      <c r="N116" s="1071"/>
      <c r="O116" s="158"/>
      <c r="P116" s="612"/>
      <c r="Q116" s="612"/>
      <c r="R116" s="620"/>
      <c r="S116" s="612"/>
      <c r="T116" s="3348"/>
      <c r="U116" s="3348"/>
      <c r="V116" s="3348"/>
      <c r="W116" s="3348"/>
      <c r="X116" s="3348"/>
      <c r="Y116" s="3348"/>
      <c r="Z116" s="3348"/>
      <c r="AA116" s="3472"/>
      <c r="AB116" s="631"/>
    </row>
    <row r="117" spans="1:28" ht="12.5" x14ac:dyDescent="0.25">
      <c r="A117" s="610"/>
      <c r="B117" s="612" t="s">
        <v>1685</v>
      </c>
      <c r="C117" s="1072"/>
      <c r="D117" s="1071"/>
      <c r="E117" s="1071"/>
      <c r="F117" s="158"/>
      <c r="G117" s="1005"/>
      <c r="H117" s="1005"/>
      <c r="I117" s="1005"/>
      <c r="J117" s="636"/>
      <c r="K117" s="612" t="s">
        <v>1686</v>
      </c>
      <c r="L117" s="1072"/>
      <c r="M117" s="1071"/>
      <c r="N117" s="1071"/>
      <c r="O117" s="158"/>
      <c r="P117" s="612"/>
      <c r="Q117" s="612"/>
      <c r="R117" s="620"/>
      <c r="S117" s="612"/>
      <c r="T117" s="611">
        <v>1</v>
      </c>
      <c r="U117" s="1007" t="s">
        <v>1785</v>
      </c>
      <c r="V117" s="1007"/>
      <c r="W117" s="158"/>
      <c r="X117" s="158">
        <v>4</v>
      </c>
      <c r="Y117" s="158" t="s">
        <v>1786</v>
      </c>
      <c r="Z117" s="158"/>
      <c r="AA117" s="159"/>
      <c r="AB117" s="631"/>
    </row>
    <row r="118" spans="1:28" ht="12.5" x14ac:dyDescent="0.25">
      <c r="A118" s="610"/>
      <c r="B118" s="612" t="s">
        <v>1686</v>
      </c>
      <c r="C118" s="1072"/>
      <c r="D118" s="1071"/>
      <c r="E118" s="1071"/>
      <c r="F118" s="158"/>
      <c r="G118" s="1005"/>
      <c r="H118" s="1005"/>
      <c r="I118" s="1005"/>
      <c r="J118" s="630"/>
      <c r="K118" s="612" t="s">
        <v>1687</v>
      </c>
      <c r="L118" s="2427"/>
      <c r="M118" s="2427"/>
      <c r="N118" s="2427"/>
      <c r="O118" s="158"/>
      <c r="P118" s="158"/>
      <c r="Q118" s="158"/>
      <c r="R118" s="159"/>
      <c r="S118" s="612"/>
      <c r="T118" s="611">
        <v>2</v>
      </c>
      <c r="U118" s="1007" t="s">
        <v>1787</v>
      </c>
      <c r="V118" s="1007"/>
      <c r="W118" s="158"/>
      <c r="X118" s="626">
        <v>5</v>
      </c>
      <c r="Y118" s="1007" t="s">
        <v>1601</v>
      </c>
      <c r="Z118" s="158"/>
      <c r="AA118" s="159"/>
      <c r="AB118" s="631"/>
    </row>
    <row r="119" spans="1:28" ht="12.5" x14ac:dyDescent="0.25">
      <c r="B119" s="612" t="s">
        <v>1687</v>
      </c>
      <c r="C119" s="2427"/>
      <c r="D119" s="2427"/>
      <c r="E119" s="2427"/>
      <c r="F119" s="158"/>
      <c r="G119" s="1005"/>
      <c r="H119" s="1005"/>
      <c r="I119" s="1006"/>
      <c r="J119" s="2517">
        <f>J110+0.01</f>
        <v>11.519999999999989</v>
      </c>
      <c r="K119" s="151" t="s">
        <v>1789</v>
      </c>
      <c r="L119" s="151"/>
      <c r="M119" s="151"/>
      <c r="N119" s="151"/>
      <c r="O119" s="151"/>
      <c r="P119" s="151"/>
      <c r="Q119" s="151"/>
      <c r="R119" s="152"/>
      <c r="S119" s="612"/>
      <c r="T119" s="611">
        <v>3</v>
      </c>
      <c r="U119" s="1007" t="s">
        <v>1788</v>
      </c>
      <c r="V119" s="1007"/>
      <c r="W119" s="158"/>
      <c r="X119" s="158"/>
      <c r="Y119" s="158"/>
      <c r="Z119" s="158"/>
      <c r="AA119" s="159"/>
      <c r="AB119" s="631"/>
    </row>
    <row r="120" spans="1:28" ht="13.5" customHeight="1" x14ac:dyDescent="0.25">
      <c r="A120" s="2517">
        <f>A110+0.01</f>
        <v>11.44999999999999</v>
      </c>
      <c r="B120" s="3468" t="s">
        <v>1790</v>
      </c>
      <c r="C120" s="3468"/>
      <c r="D120" s="3468"/>
      <c r="E120" s="3468"/>
      <c r="F120" s="3468"/>
      <c r="G120" s="3468"/>
      <c r="H120" s="3468"/>
      <c r="I120" s="3469"/>
      <c r="J120" s="610"/>
      <c r="K120" s="158" t="s">
        <v>1791</v>
      </c>
      <c r="L120" s="158"/>
      <c r="M120" s="158"/>
      <c r="N120" s="158"/>
      <c r="O120" s="158"/>
      <c r="P120" s="611"/>
      <c r="Q120" s="158"/>
      <c r="R120" s="159"/>
      <c r="S120" s="608">
        <f>S115+0.01</f>
        <v>11.589999999999987</v>
      </c>
      <c r="T120" s="3466" t="s">
        <v>1792</v>
      </c>
      <c r="U120" s="3466"/>
      <c r="V120" s="3466"/>
      <c r="W120" s="3466"/>
      <c r="X120" s="3466"/>
      <c r="Y120" s="3466"/>
      <c r="Z120" s="3466"/>
      <c r="AA120" s="3467"/>
      <c r="AB120" s="631"/>
    </row>
    <row r="121" spans="1:28" ht="12.5" x14ac:dyDescent="0.25">
      <c r="A121" s="630"/>
      <c r="B121" s="158">
        <v>1</v>
      </c>
      <c r="C121" s="158" t="s">
        <v>1197</v>
      </c>
      <c r="D121" s="158"/>
      <c r="E121" s="158"/>
      <c r="F121" s="158"/>
      <c r="G121" s="626"/>
      <c r="H121" s="624"/>
      <c r="I121" s="761"/>
      <c r="J121" s="610"/>
      <c r="K121" s="611">
        <v>1</v>
      </c>
      <c r="L121" s="1007" t="s">
        <v>1793</v>
      </c>
      <c r="M121" s="158"/>
      <c r="N121" s="158"/>
      <c r="O121" s="158">
        <v>1</v>
      </c>
      <c r="P121" s="611"/>
      <c r="Q121" s="158"/>
      <c r="R121" s="159"/>
      <c r="S121" s="624"/>
      <c r="T121" s="2889"/>
      <c r="U121" s="2889"/>
      <c r="V121" s="2889"/>
      <c r="W121" s="2889"/>
      <c r="X121" s="2889"/>
      <c r="Y121" s="2889"/>
      <c r="Z121" s="2889"/>
      <c r="AA121" s="2890"/>
      <c r="AB121" s="631"/>
    </row>
    <row r="122" spans="1:28" ht="12.5" x14ac:dyDescent="0.25">
      <c r="A122" s="621"/>
      <c r="B122" s="617">
        <v>2</v>
      </c>
      <c r="C122" s="617" t="str">
        <f>CONCATENATE("Non  ► (",ROUND(J101,2),")")</f>
        <v>Non  ► (11.49)</v>
      </c>
      <c r="D122" s="622"/>
      <c r="E122" s="617"/>
      <c r="F122" s="617"/>
      <c r="G122" s="627"/>
      <c r="H122" s="627"/>
      <c r="I122" s="1077"/>
      <c r="J122" s="636"/>
      <c r="K122" s="611">
        <v>2</v>
      </c>
      <c r="L122" s="1007" t="s">
        <v>1794</v>
      </c>
      <c r="M122" s="158"/>
      <c r="N122" s="158"/>
      <c r="O122" s="612"/>
      <c r="P122" s="612"/>
      <c r="Q122" s="612"/>
      <c r="R122" s="620"/>
      <c r="S122" s="612"/>
      <c r="T122" s="158">
        <v>1</v>
      </c>
      <c r="U122" s="158" t="s">
        <v>1795</v>
      </c>
      <c r="W122" s="158"/>
      <c r="X122" s="612"/>
      <c r="Y122" s="612" t="s">
        <v>635</v>
      </c>
      <c r="AA122" s="620"/>
      <c r="AB122" s="631"/>
    </row>
    <row r="123" spans="1:28" ht="13.5" customHeight="1" x14ac:dyDescent="0.25">
      <c r="A123" s="2517">
        <f>A120+0.01</f>
        <v>11.45999999999999</v>
      </c>
      <c r="B123" s="3466" t="s">
        <v>1796</v>
      </c>
      <c r="C123" s="3466"/>
      <c r="D123" s="3466"/>
      <c r="E123" s="3466"/>
      <c r="F123" s="3466"/>
      <c r="G123" s="3466"/>
      <c r="H123" s="3466"/>
      <c r="I123" s="3467"/>
      <c r="J123" s="630"/>
      <c r="K123" s="611">
        <v>3</v>
      </c>
      <c r="L123" s="1007" t="s">
        <v>1797</v>
      </c>
      <c r="M123" s="612"/>
      <c r="N123" s="612"/>
      <c r="O123" s="670"/>
      <c r="P123" s="670"/>
      <c r="Q123" s="670"/>
      <c r="R123" s="793"/>
      <c r="S123" s="612"/>
      <c r="T123" s="612">
        <v>2</v>
      </c>
      <c r="U123" s="612" t="s">
        <v>1798</v>
      </c>
      <c r="W123" s="612"/>
      <c r="X123" s="612"/>
      <c r="Y123" s="612"/>
      <c r="Z123" s="612"/>
      <c r="AA123" s="620"/>
      <c r="AB123" s="631"/>
    </row>
    <row r="124" spans="1:28" ht="13.5" customHeight="1" x14ac:dyDescent="0.25">
      <c r="A124" s="610"/>
      <c r="B124" s="2889"/>
      <c r="C124" s="2889"/>
      <c r="D124" s="2889"/>
      <c r="E124" s="2889"/>
      <c r="F124" s="2889"/>
      <c r="G124" s="2889"/>
      <c r="H124" s="2889"/>
      <c r="I124" s="2890"/>
      <c r="J124" s="614"/>
      <c r="K124" s="611">
        <v>4</v>
      </c>
      <c r="L124" s="1007" t="s">
        <v>1799</v>
      </c>
      <c r="M124" s="158"/>
      <c r="N124" s="158"/>
      <c r="O124" s="670"/>
      <c r="P124" s="670"/>
      <c r="Q124" s="670"/>
      <c r="R124" s="793"/>
      <c r="S124" s="612"/>
      <c r="T124" s="612">
        <v>3</v>
      </c>
      <c r="U124" s="612" t="s">
        <v>1800</v>
      </c>
      <c r="W124" s="612"/>
      <c r="X124" s="612"/>
      <c r="Y124" s="612"/>
      <c r="Z124" s="612"/>
      <c r="AA124" s="620"/>
      <c r="AB124" s="631"/>
    </row>
    <row r="125" spans="1:28" ht="13.5" customHeight="1" x14ac:dyDescent="0.3">
      <c r="A125" s="614"/>
      <c r="B125" s="158">
        <v>1</v>
      </c>
      <c r="C125" s="158" t="str">
        <f>CONCATENATE("Oui  ► (",TEXT(ROUND(J95,2),"0.00"),")")</f>
        <v>Oui  ► (11.48)</v>
      </c>
      <c r="D125" s="158"/>
      <c r="J125" s="369"/>
      <c r="K125" s="611">
        <v>5</v>
      </c>
      <c r="L125" s="1007" t="s">
        <v>1801</v>
      </c>
      <c r="M125" s="158"/>
      <c r="N125" s="158"/>
      <c r="O125" s="2369"/>
      <c r="P125" s="2369"/>
      <c r="Q125" s="2369"/>
      <c r="R125" s="2370"/>
      <c r="S125" s="612"/>
      <c r="T125" s="612">
        <v>4</v>
      </c>
      <c r="U125" s="612" t="s">
        <v>1802</v>
      </c>
      <c r="W125" s="612"/>
      <c r="X125" s="612"/>
      <c r="Y125" s="612"/>
      <c r="Z125" s="612"/>
      <c r="AA125" s="620"/>
      <c r="AB125" s="631"/>
    </row>
    <row r="126" spans="1:28" ht="13.5" customHeight="1" x14ac:dyDescent="0.25">
      <c r="A126" s="630"/>
      <c r="B126" s="158">
        <v>2</v>
      </c>
      <c r="C126" s="158" t="s">
        <v>1198</v>
      </c>
      <c r="D126" s="158"/>
      <c r="E126" s="612"/>
      <c r="F126" s="158"/>
      <c r="G126" s="158"/>
      <c r="H126" s="612"/>
      <c r="I126" s="620"/>
      <c r="J126" s="369"/>
      <c r="K126" s="611">
        <v>6</v>
      </c>
      <c r="L126" s="1007" t="s">
        <v>1803</v>
      </c>
      <c r="M126" s="158"/>
      <c r="N126" s="158"/>
      <c r="O126" s="158">
        <v>2</v>
      </c>
      <c r="P126" s="2369"/>
      <c r="Q126" s="2369"/>
      <c r="R126" s="2370"/>
      <c r="S126" s="323">
        <f>ROUND(S120,2)+0.01</f>
        <v>11.6</v>
      </c>
      <c r="T126" s="3470" t="s">
        <v>1804</v>
      </c>
      <c r="U126" s="3470"/>
      <c r="V126" s="3470"/>
      <c r="W126" s="3470"/>
      <c r="X126" s="3470"/>
      <c r="Y126" s="3470"/>
      <c r="Z126" s="3470"/>
      <c r="AA126" s="3471"/>
      <c r="AB126" s="631"/>
    </row>
    <row r="127" spans="1:28" ht="13.5" customHeight="1" x14ac:dyDescent="0.25">
      <c r="A127" s="614"/>
      <c r="B127" s="158">
        <v>3</v>
      </c>
      <c r="C127" s="158" t="s">
        <v>1675</v>
      </c>
      <c r="D127" s="158"/>
      <c r="E127" s="612"/>
      <c r="F127" s="158"/>
      <c r="G127" s="158"/>
      <c r="H127" s="248"/>
      <c r="I127" s="249"/>
      <c r="J127" s="369"/>
      <c r="K127" s="611">
        <v>7</v>
      </c>
      <c r="L127" s="1007" t="s">
        <v>1805</v>
      </c>
      <c r="M127" s="158"/>
      <c r="N127" s="158"/>
      <c r="O127" s="158"/>
      <c r="P127" s="158"/>
      <c r="Q127" s="158"/>
      <c r="R127" s="159"/>
      <c r="S127" s="614"/>
      <c r="T127" s="3348"/>
      <c r="U127" s="3348"/>
      <c r="V127" s="3348"/>
      <c r="W127" s="3348"/>
      <c r="X127" s="3348"/>
      <c r="Y127" s="3348"/>
      <c r="Z127" s="3348"/>
      <c r="AA127" s="3472"/>
      <c r="AB127" s="631"/>
    </row>
    <row r="128" spans="1:28" ht="12.5" x14ac:dyDescent="0.25">
      <c r="A128" s="2517">
        <f>A123+0.01</f>
        <v>11.46999999999999</v>
      </c>
      <c r="B128" s="3451" t="s">
        <v>1806</v>
      </c>
      <c r="C128" s="3451"/>
      <c r="D128" s="3451"/>
      <c r="E128" s="3451"/>
      <c r="F128" s="3451"/>
      <c r="G128" s="3451"/>
      <c r="H128" s="3451"/>
      <c r="I128" s="3452"/>
      <c r="J128" s="621"/>
      <c r="K128" s="2507">
        <v>8</v>
      </c>
      <c r="L128" s="1172" t="s">
        <v>1601</v>
      </c>
      <c r="M128" s="627"/>
      <c r="N128" s="627"/>
      <c r="O128" s="617"/>
      <c r="P128" s="617"/>
      <c r="Q128" s="617"/>
      <c r="R128" s="361"/>
      <c r="S128" s="539" t="s">
        <v>1807</v>
      </c>
      <c r="T128" s="1071"/>
      <c r="U128" s="576"/>
      <c r="V128" s="576"/>
      <c r="W128" s="576"/>
      <c r="X128" s="576"/>
      <c r="Y128" s="576"/>
      <c r="Z128" s="576"/>
      <c r="AA128" s="761"/>
      <c r="AB128" s="631"/>
    </row>
    <row r="129" spans="1:28" ht="13.5" customHeight="1" x14ac:dyDescent="0.25">
      <c r="A129" s="614"/>
      <c r="B129" s="2785"/>
      <c r="C129" s="2785"/>
      <c r="D129" s="2785"/>
      <c r="E129" s="2785"/>
      <c r="F129" s="2785"/>
      <c r="G129" s="2785"/>
      <c r="H129" s="2785"/>
      <c r="I129" s="2787"/>
      <c r="J129" s="2517">
        <f>J119+0.01</f>
        <v>11.529999999999989</v>
      </c>
      <c r="K129" s="3447" t="s">
        <v>1808</v>
      </c>
      <c r="L129" s="3447"/>
      <c r="M129" s="3447"/>
      <c r="N129" s="3447"/>
      <c r="O129" s="3447"/>
      <c r="P129" s="3447"/>
      <c r="Q129" s="3447"/>
      <c r="R129" s="3448"/>
      <c r="S129" s="1080" t="s">
        <v>1809</v>
      </c>
      <c r="T129" s="1071"/>
      <c r="U129" s="1014"/>
      <c r="V129" s="1014"/>
      <c r="W129" s="1014"/>
      <c r="X129" s="1014"/>
      <c r="Y129" s="1014"/>
      <c r="Z129" s="1014"/>
      <c r="AA129" s="1020"/>
      <c r="AB129" s="631"/>
    </row>
    <row r="130" spans="1:28" ht="13.5" customHeight="1" x14ac:dyDescent="0.25">
      <c r="A130" s="369"/>
      <c r="B130" s="158"/>
      <c r="C130" s="158"/>
      <c r="D130" s="158"/>
      <c r="E130" s="158"/>
      <c r="F130" s="158"/>
      <c r="G130" s="158"/>
      <c r="H130" s="158"/>
      <c r="I130" s="159"/>
      <c r="J130" s="630"/>
      <c r="K130" s="3449"/>
      <c r="L130" s="3449"/>
      <c r="M130" s="3449"/>
      <c r="N130" s="3449"/>
      <c r="O130" s="3449"/>
      <c r="P130" s="3449"/>
      <c r="Q130" s="3449"/>
      <c r="R130" s="3450"/>
      <c r="S130" s="1080" t="s">
        <v>1810</v>
      </c>
      <c r="T130" s="1071"/>
      <c r="U130" s="1014"/>
      <c r="V130" s="1071"/>
      <c r="W130" s="1071"/>
      <c r="X130" s="1071"/>
      <c r="Y130" s="1071"/>
      <c r="Z130" s="1071"/>
      <c r="AA130" s="1020"/>
      <c r="AB130" s="631"/>
    </row>
    <row r="131" spans="1:28" ht="13.5" customHeight="1" x14ac:dyDescent="0.25">
      <c r="A131" s="369"/>
      <c r="B131" s="613"/>
      <c r="C131" s="2508"/>
      <c r="D131" s="160"/>
      <c r="E131" s="158"/>
      <c r="F131" s="158"/>
      <c r="G131" s="158"/>
      <c r="H131" s="158"/>
      <c r="I131" s="159"/>
      <c r="J131" s="614"/>
      <c r="K131" s="634">
        <v>1</v>
      </c>
      <c r="L131" s="1014" t="s">
        <v>1811</v>
      </c>
      <c r="M131" s="1014"/>
      <c r="N131" s="1014"/>
      <c r="O131" s="634">
        <v>5</v>
      </c>
      <c r="P131" s="1015" t="s">
        <v>1812</v>
      </c>
      <c r="Q131" s="1017"/>
      <c r="R131" s="2428"/>
      <c r="S131" s="1081" t="s">
        <v>1813</v>
      </c>
      <c r="T131" s="1071"/>
      <c r="U131" s="1014"/>
      <c r="V131" s="1014"/>
      <c r="W131" s="1016"/>
      <c r="X131" s="1016"/>
      <c r="Y131" s="1016"/>
      <c r="Z131" s="1014"/>
      <c r="AA131" s="2428"/>
      <c r="AB131" s="631"/>
    </row>
    <row r="132" spans="1:28" ht="13.5" customHeight="1" x14ac:dyDescent="0.25">
      <c r="A132" s="369"/>
      <c r="B132" s="613" t="s">
        <v>1682</v>
      </c>
      <c r="C132" s="2508"/>
      <c r="D132" s="160"/>
      <c r="E132" s="158"/>
      <c r="F132" s="158"/>
      <c r="G132" s="158"/>
      <c r="H132" s="158"/>
      <c r="I132" s="159"/>
      <c r="J132" s="614"/>
      <c r="K132" s="634">
        <v>2</v>
      </c>
      <c r="L132" s="1015" t="s">
        <v>1814</v>
      </c>
      <c r="M132" s="1015"/>
      <c r="N132" s="1015"/>
      <c r="O132" s="634">
        <v>6</v>
      </c>
      <c r="P132" s="1015" t="s">
        <v>1601</v>
      </c>
      <c r="Q132" s="1017"/>
      <c r="R132" s="2370"/>
      <c r="S132" s="161" t="s">
        <v>1815</v>
      </c>
      <c r="T132" s="1071"/>
      <c r="U132" s="2427"/>
      <c r="V132" s="2427"/>
      <c r="W132" s="2427"/>
      <c r="X132" s="2427"/>
      <c r="Y132" s="2427"/>
      <c r="Z132" s="2427"/>
      <c r="AA132" s="2428"/>
      <c r="AB132" s="631"/>
    </row>
    <row r="133" spans="1:28" ht="12.5" x14ac:dyDescent="0.25">
      <c r="A133" s="614"/>
      <c r="B133" s="612" t="s">
        <v>1683</v>
      </c>
      <c r="C133" s="1072"/>
      <c r="D133" s="1071"/>
      <c r="E133" s="1071"/>
      <c r="F133" s="612" t="s">
        <v>1686</v>
      </c>
      <c r="G133" s="2427"/>
      <c r="H133" s="158"/>
      <c r="I133" s="1177"/>
      <c r="J133" s="614"/>
      <c r="K133" s="634">
        <v>3</v>
      </c>
      <c r="L133" s="1015" t="s">
        <v>1816</v>
      </c>
      <c r="M133" s="1017"/>
      <c r="N133" s="1017"/>
      <c r="O133" s="626"/>
      <c r="P133" s="612"/>
      <c r="Q133" s="612"/>
      <c r="R133" s="159"/>
      <c r="S133" s="369" t="s">
        <v>1817</v>
      </c>
      <c r="T133" s="1071"/>
      <c r="U133" s="2504"/>
      <c r="V133" s="158"/>
      <c r="W133" s="158"/>
      <c r="X133" s="158"/>
      <c r="Y133" s="158"/>
      <c r="Z133" s="158"/>
      <c r="AA133" s="159"/>
      <c r="AB133" s="631"/>
    </row>
    <row r="134" spans="1:28" ht="13.5" customHeight="1" x14ac:dyDescent="0.25">
      <c r="A134" s="614"/>
      <c r="B134" s="612" t="s">
        <v>1685</v>
      </c>
      <c r="C134" s="1072"/>
      <c r="D134" s="1071"/>
      <c r="E134" s="1071"/>
      <c r="F134" s="612" t="s">
        <v>1687</v>
      </c>
      <c r="G134" s="612"/>
      <c r="H134" s="612"/>
      <c r="I134" s="620"/>
      <c r="J134" s="614"/>
      <c r="K134" s="634">
        <v>4</v>
      </c>
      <c r="L134" s="1015" t="s">
        <v>1818</v>
      </c>
      <c r="M134" s="1017"/>
      <c r="N134" s="1017"/>
      <c r="O134" s="158"/>
      <c r="P134" s="612"/>
      <c r="Q134" s="612"/>
      <c r="R134" s="159"/>
      <c r="S134" s="161" t="s">
        <v>1819</v>
      </c>
      <c r="T134" s="1071"/>
      <c r="U134" s="2504"/>
      <c r="V134" s="158"/>
      <c r="W134" s="158"/>
      <c r="X134" s="158"/>
      <c r="Y134" s="158"/>
      <c r="Z134" s="158"/>
      <c r="AA134" s="159"/>
      <c r="AB134" s="631"/>
    </row>
    <row r="135" spans="1:28" ht="12.5" x14ac:dyDescent="0.25">
      <c r="A135" s="760"/>
      <c r="B135" s="1166"/>
      <c r="C135" s="1166"/>
      <c r="D135" s="1076"/>
      <c r="E135" s="1076"/>
      <c r="F135" s="617"/>
      <c r="G135" s="1059"/>
      <c r="H135" s="1059"/>
      <c r="I135" s="361"/>
      <c r="J135" s="633"/>
      <c r="K135" s="1076"/>
      <c r="L135" s="1076"/>
      <c r="M135" s="1076"/>
      <c r="N135" s="1082"/>
      <c r="O135" s="617"/>
      <c r="P135" s="627"/>
      <c r="Q135" s="627"/>
      <c r="R135" s="628"/>
      <c r="S135" s="633" t="s">
        <v>1820</v>
      </c>
      <c r="T135" s="1076"/>
      <c r="U135" s="617"/>
      <c r="V135" s="617"/>
      <c r="W135" s="617"/>
      <c r="X135" s="617"/>
      <c r="Y135" s="617"/>
      <c r="Z135" s="617"/>
      <c r="AA135" s="361"/>
      <c r="AB135" s="631"/>
    </row>
    <row r="136" spans="1:28" ht="13.5" customHeight="1" x14ac:dyDescent="0.25">
      <c r="A136" s="158"/>
      <c r="B136" s="158"/>
      <c r="C136" s="158"/>
      <c r="D136" s="158"/>
      <c r="E136" s="158"/>
      <c r="F136" s="158"/>
      <c r="G136" s="158"/>
      <c r="H136" s="158"/>
      <c r="I136" s="158"/>
      <c r="J136" s="2551"/>
      <c r="K136" s="158"/>
      <c r="L136" s="158"/>
      <c r="M136" s="158"/>
      <c r="N136" s="158"/>
      <c r="O136" s="158"/>
      <c r="P136" s="158"/>
      <c r="Q136" s="158"/>
      <c r="R136" s="158"/>
      <c r="S136" s="612"/>
      <c r="T136" s="612"/>
      <c r="U136" s="611"/>
      <c r="V136" s="1007"/>
      <c r="W136" s="158"/>
      <c r="X136" s="158"/>
      <c r="Y136" s="158"/>
      <c r="Z136" s="158"/>
      <c r="AA136" s="158"/>
      <c r="AB136" s="631"/>
    </row>
    <row r="137" spans="1:28" ht="13.5" customHeight="1" x14ac:dyDescent="0.25">
      <c r="A137" s="2257" t="str">
        <f>CONCATENATE(S126, "0", "a")</f>
        <v>11.60a</v>
      </c>
      <c r="B137" s="3444" t="s">
        <v>1821</v>
      </c>
      <c r="C137" s="3444"/>
      <c r="D137" s="3444"/>
      <c r="E137" s="3444"/>
      <c r="F137" s="3444"/>
      <c r="G137" s="3444"/>
      <c r="H137" s="3444"/>
      <c r="I137" s="3444"/>
      <c r="J137" s="2258" t="str">
        <f>CONCATENATE(S126, "0", "b")</f>
        <v>11.60b</v>
      </c>
      <c r="K137" s="3444" t="s">
        <v>1822</v>
      </c>
      <c r="L137" s="3444"/>
      <c r="M137" s="3444"/>
      <c r="N137" s="3444"/>
      <c r="O137" s="3444"/>
      <c r="P137" s="3444"/>
      <c r="Q137" s="3444"/>
      <c r="R137" s="3445"/>
      <c r="S137" s="2259" t="str">
        <f>CONCATENATE(S126, "0", "c")</f>
        <v>11.60c</v>
      </c>
      <c r="T137" s="3444" t="s">
        <v>1823</v>
      </c>
      <c r="U137" s="3444"/>
      <c r="V137" s="3444"/>
      <c r="W137" s="3444"/>
      <c r="X137" s="3444"/>
      <c r="Y137" s="3444"/>
      <c r="Z137" s="3444"/>
      <c r="AA137" s="3445"/>
      <c r="AB137" s="631"/>
    </row>
    <row r="138" spans="1:28" ht="13.5" customHeight="1" x14ac:dyDescent="0.25">
      <c r="A138" s="2260"/>
      <c r="B138" s="2820"/>
      <c r="C138" s="2820"/>
      <c r="D138" s="2820"/>
      <c r="E138" s="2820"/>
      <c r="F138" s="2820"/>
      <c r="G138" s="2820"/>
      <c r="H138" s="2820"/>
      <c r="I138" s="2820"/>
      <c r="J138" s="2261"/>
      <c r="K138" s="2820"/>
      <c r="L138" s="2820"/>
      <c r="M138" s="2820"/>
      <c r="N138" s="2820"/>
      <c r="O138" s="2820"/>
      <c r="P138" s="2820"/>
      <c r="Q138" s="2820"/>
      <c r="R138" s="3029"/>
      <c r="S138" s="2262"/>
      <c r="T138" s="2820"/>
      <c r="U138" s="2820"/>
      <c r="V138" s="2820"/>
      <c r="W138" s="2820"/>
      <c r="X138" s="2820"/>
      <c r="Y138" s="2820"/>
      <c r="Z138" s="2820"/>
      <c r="AA138" s="3029"/>
      <c r="AB138" s="631"/>
    </row>
    <row r="139" spans="1:28" ht="12.5" x14ac:dyDescent="0.25">
      <c r="A139" s="2260"/>
      <c r="B139" s="2138" t="s">
        <v>1824</v>
      </c>
      <c r="C139" s="2263"/>
      <c r="D139" s="2019"/>
      <c r="E139" s="2019"/>
      <c r="F139" s="2019"/>
      <c r="G139" s="2138"/>
      <c r="H139" s="2019"/>
      <c r="I139" s="2138"/>
      <c r="J139" s="2261"/>
      <c r="K139" s="2820"/>
      <c r="L139" s="2820"/>
      <c r="M139" s="2820"/>
      <c r="N139" s="2820"/>
      <c r="O139" s="2820"/>
      <c r="P139" s="2820"/>
      <c r="Q139" s="2820"/>
      <c r="R139" s="3029"/>
      <c r="S139" s="2138"/>
      <c r="T139" s="2820"/>
      <c r="U139" s="2820"/>
      <c r="V139" s="2820"/>
      <c r="W139" s="2820"/>
      <c r="X139" s="2820"/>
      <c r="Y139" s="2820"/>
      <c r="Z139" s="2820"/>
      <c r="AA139" s="3029"/>
      <c r="AB139" s="631"/>
    </row>
    <row r="140" spans="1:28" ht="13.5" customHeight="1" x14ac:dyDescent="0.25">
      <c r="A140" s="2260"/>
      <c r="B140" s="2138" t="s">
        <v>1825</v>
      </c>
      <c r="C140" s="2019"/>
      <c r="D140" s="2019"/>
      <c r="E140" s="2019"/>
      <c r="F140" s="2019"/>
      <c r="G140" s="2138"/>
      <c r="H140" s="2138"/>
      <c r="I140" s="2138"/>
      <c r="J140" s="2264"/>
      <c r="K140" s="2138" t="s">
        <v>1826</v>
      </c>
      <c r="L140" s="2115"/>
      <c r="M140" s="2138"/>
      <c r="N140" s="2138"/>
      <c r="O140" s="2138"/>
      <c r="P140" s="2138"/>
      <c r="Q140" s="2138"/>
      <c r="R140" s="2265"/>
      <c r="S140" s="2138"/>
      <c r="T140" s="2138" t="s">
        <v>1827</v>
      </c>
      <c r="U140" s="2138"/>
      <c r="V140" s="2138"/>
      <c r="W140" s="2138"/>
      <c r="X140" s="2138"/>
      <c r="Y140" s="2138"/>
      <c r="Z140" s="2138"/>
      <c r="AA140" s="2265"/>
      <c r="AB140" s="631"/>
    </row>
    <row r="141" spans="1:28" ht="13.5" customHeight="1" x14ac:dyDescent="0.25">
      <c r="A141" s="2266"/>
      <c r="B141" s="2138" t="s">
        <v>1828</v>
      </c>
      <c r="C141" s="2019"/>
      <c r="D141" s="2019"/>
      <c r="E141" s="2019"/>
      <c r="F141" s="2019"/>
      <c r="G141" s="2019"/>
      <c r="H141" s="2019"/>
      <c r="I141" s="2019"/>
      <c r="J141" s="2261"/>
      <c r="K141" s="3446" t="s">
        <v>1829</v>
      </c>
      <c r="L141" s="3446"/>
      <c r="M141" s="3446"/>
      <c r="N141" s="3446"/>
      <c r="O141" s="3446"/>
      <c r="P141" s="3446"/>
      <c r="Q141" s="3446"/>
      <c r="R141" s="2265"/>
      <c r="S141" s="2138"/>
      <c r="T141" s="2138" t="s">
        <v>1830</v>
      </c>
      <c r="U141" s="2138"/>
      <c r="V141" s="2138"/>
      <c r="W141" s="2138"/>
      <c r="X141" s="2138"/>
      <c r="Y141" s="2138"/>
      <c r="Z141" s="2138"/>
      <c r="AA141" s="2265"/>
      <c r="AB141" s="631"/>
    </row>
    <row r="142" spans="1:28" ht="12.5" x14ac:dyDescent="0.25">
      <c r="A142" s="2266"/>
      <c r="B142" s="2019"/>
      <c r="C142" s="2019"/>
      <c r="D142" s="2019"/>
      <c r="E142" s="2019"/>
      <c r="F142" s="2019"/>
      <c r="G142" s="2019"/>
      <c r="H142" s="2019"/>
      <c r="I142" s="2019"/>
      <c r="J142" s="2261"/>
      <c r="K142" s="3446"/>
      <c r="L142" s="3446"/>
      <c r="M142" s="3446"/>
      <c r="N142" s="3446"/>
      <c r="O142" s="3446"/>
      <c r="P142" s="3446"/>
      <c r="Q142" s="3446"/>
      <c r="R142" s="2267"/>
      <c r="S142" s="2138"/>
      <c r="T142" s="2138" t="s">
        <v>1831</v>
      </c>
      <c r="U142" s="2138"/>
      <c r="V142" s="2138"/>
      <c r="W142" s="2138"/>
      <c r="X142" s="2138"/>
      <c r="Y142" s="2138"/>
      <c r="Z142" s="2138"/>
      <c r="AA142" s="2265"/>
      <c r="AB142" s="631"/>
    </row>
    <row r="143" spans="1:28" ht="12.5" x14ac:dyDescent="0.25">
      <c r="A143" s="2266"/>
      <c r="B143" s="2019"/>
      <c r="C143" s="2019"/>
      <c r="D143" s="2019"/>
      <c r="E143" s="2019"/>
      <c r="F143" s="2019"/>
      <c r="G143" s="2019"/>
      <c r="H143" s="2019"/>
      <c r="I143" s="2019"/>
      <c r="J143" s="2261"/>
      <c r="K143" s="2138" t="s">
        <v>636</v>
      </c>
      <c r="L143" s="2115"/>
      <c r="M143" s="2019"/>
      <c r="N143" s="2019"/>
      <c r="O143" s="2019"/>
      <c r="P143" s="2019"/>
      <c r="Q143" s="2019"/>
      <c r="R143" s="2267"/>
      <c r="S143" s="2138"/>
      <c r="T143" s="2138" t="s">
        <v>1832</v>
      </c>
      <c r="U143" s="2138"/>
      <c r="V143" s="2138"/>
      <c r="W143" s="2138"/>
      <c r="X143" s="2138"/>
      <c r="Y143" s="2138"/>
      <c r="Z143" s="2138"/>
      <c r="AA143" s="2265"/>
      <c r="AB143" s="631"/>
    </row>
    <row r="144" spans="1:28" ht="12.5" x14ac:dyDescent="0.25">
      <c r="A144" s="2266"/>
      <c r="B144" s="2019"/>
      <c r="C144" s="2019"/>
      <c r="D144" s="2019"/>
      <c r="E144" s="2019"/>
      <c r="F144" s="2019"/>
      <c r="G144" s="2019"/>
      <c r="H144" s="2019"/>
      <c r="I144" s="2019"/>
      <c r="J144" s="2261"/>
      <c r="K144" s="2268"/>
      <c r="L144" s="2115"/>
      <c r="M144" s="2019"/>
      <c r="N144" s="2019"/>
      <c r="O144" s="2019"/>
      <c r="P144" s="2019"/>
      <c r="Q144" s="2019"/>
      <c r="R144" s="2267"/>
      <c r="S144" s="2138"/>
      <c r="T144" s="2138" t="s">
        <v>1833</v>
      </c>
      <c r="U144" s="2138"/>
      <c r="V144" s="2138"/>
      <c r="W144" s="2138"/>
      <c r="X144" s="2138"/>
      <c r="Y144" s="2138"/>
      <c r="Z144" s="2138"/>
      <c r="AA144" s="2265"/>
      <c r="AB144" s="631"/>
    </row>
    <row r="145" spans="1:28" ht="12.5" x14ac:dyDescent="0.25">
      <c r="A145" s="2269"/>
      <c r="B145" s="2270"/>
      <c r="C145" s="2270"/>
      <c r="D145" s="2270"/>
      <c r="E145" s="2270"/>
      <c r="F145" s="2270"/>
      <c r="G145" s="2270"/>
      <c r="H145" s="2270"/>
      <c r="I145" s="2270"/>
      <c r="J145" s="2271"/>
      <c r="K145" s="2272"/>
      <c r="L145" s="2128"/>
      <c r="M145" s="2270"/>
      <c r="N145" s="2270"/>
      <c r="O145" s="2270"/>
      <c r="P145" s="2272"/>
      <c r="Q145" s="2270"/>
      <c r="R145" s="2273"/>
      <c r="S145" s="2274"/>
      <c r="T145" s="2274"/>
      <c r="U145" s="2274"/>
      <c r="V145" s="2274"/>
      <c r="W145" s="2274"/>
      <c r="X145" s="2274"/>
      <c r="Y145" s="2274"/>
      <c r="Z145" s="2274"/>
      <c r="AA145" s="2275"/>
      <c r="AB145" s="631"/>
    </row>
    <row r="146" spans="1:28" ht="12.5" x14ac:dyDescent="0.25">
      <c r="A146" s="158"/>
      <c r="B146" s="158"/>
      <c r="C146" s="158"/>
      <c r="D146" s="158"/>
      <c r="E146" s="158"/>
      <c r="F146" s="158"/>
      <c r="G146" s="158"/>
      <c r="H146" s="158"/>
      <c r="I146" s="158"/>
      <c r="J146" s="606"/>
      <c r="K146" s="611"/>
      <c r="L146" s="1007"/>
      <c r="M146" s="158"/>
      <c r="N146" s="158"/>
      <c r="O146" s="158"/>
      <c r="P146" s="611"/>
      <c r="Q146" s="158"/>
      <c r="R146" s="158"/>
      <c r="S146" s="158"/>
      <c r="T146" s="158"/>
      <c r="U146" s="158"/>
      <c r="V146" s="158"/>
      <c r="W146" s="158"/>
      <c r="X146" s="158"/>
      <c r="Y146" s="158"/>
      <c r="Z146" s="158"/>
      <c r="AA146" s="158"/>
      <c r="AB146" s="631"/>
    </row>
    <row r="147" spans="1:28" ht="13.5" customHeight="1" x14ac:dyDescent="0.3">
      <c r="A147" s="2189"/>
      <c r="B147" s="1072"/>
      <c r="C147" s="1071"/>
      <c r="D147" s="1071"/>
      <c r="E147" s="1071"/>
      <c r="F147" s="1164"/>
      <c r="G147" s="1164"/>
      <c r="H147" s="1165"/>
      <c r="I147" s="1071"/>
      <c r="J147" s="619"/>
      <c r="K147" s="611"/>
      <c r="L147" s="1007"/>
      <c r="M147" s="612"/>
      <c r="N147" s="612"/>
      <c r="O147" s="612"/>
      <c r="P147" s="612"/>
      <c r="Q147" s="612"/>
      <c r="R147" s="612"/>
      <c r="S147" s="2189"/>
      <c r="T147" s="1071"/>
      <c r="U147" s="1072"/>
      <c r="V147" s="1071"/>
      <c r="W147" s="1071"/>
      <c r="X147" s="1071"/>
      <c r="Y147" s="1071"/>
      <c r="Z147" s="1071"/>
      <c r="AA147" s="1071"/>
      <c r="AB147" s="631"/>
    </row>
    <row r="148" spans="1:28" x14ac:dyDescent="0.3">
      <c r="J148" s="2369"/>
      <c r="K148" s="2369"/>
      <c r="L148" s="2369"/>
      <c r="M148" s="2369"/>
      <c r="N148" s="2369"/>
      <c r="O148" s="2369"/>
      <c r="P148" s="2369"/>
      <c r="Q148" s="2369"/>
      <c r="R148" s="2369"/>
      <c r="AB148" s="631"/>
    </row>
    <row r="149" spans="1:28" x14ac:dyDescent="0.3">
      <c r="J149" s="2369"/>
      <c r="K149" s="2369"/>
      <c r="L149" s="2369"/>
      <c r="M149" s="2369"/>
      <c r="N149" s="2369"/>
      <c r="O149" s="2369"/>
      <c r="P149" s="2369"/>
      <c r="Q149" s="2369"/>
      <c r="R149" s="2369"/>
      <c r="AB149" s="631"/>
    </row>
    <row r="150" spans="1:28" x14ac:dyDescent="0.3">
      <c r="J150" s="158"/>
      <c r="K150" s="158"/>
      <c r="L150" s="158"/>
      <c r="M150" s="158"/>
      <c r="N150" s="158"/>
      <c r="O150" s="158"/>
      <c r="P150" s="158"/>
      <c r="Q150" s="158"/>
      <c r="R150" s="158"/>
      <c r="AB150" s="631"/>
    </row>
    <row r="151" spans="1:28" x14ac:dyDescent="0.3">
      <c r="J151" s="158"/>
      <c r="K151" s="158"/>
      <c r="L151" s="158"/>
      <c r="M151" s="158"/>
      <c r="N151" s="158"/>
      <c r="O151" s="158"/>
      <c r="P151" s="158"/>
      <c r="Q151" s="158"/>
      <c r="R151" s="158"/>
      <c r="AB151" s="631"/>
    </row>
    <row r="152" spans="1:28" x14ac:dyDescent="0.3">
      <c r="AB152" s="631"/>
    </row>
    <row r="153" spans="1:28" x14ac:dyDescent="0.3">
      <c r="AB153" s="631"/>
    </row>
    <row r="154" spans="1:28" x14ac:dyDescent="0.3">
      <c r="AB154" s="631"/>
    </row>
    <row r="156" spans="1:28" ht="12.5" x14ac:dyDescent="0.25">
      <c r="A156" s="595"/>
      <c r="B156" s="595"/>
      <c r="F156" s="595"/>
      <c r="G156" s="595"/>
      <c r="H156" s="595"/>
    </row>
    <row r="157" spans="1:28" ht="12.5" x14ac:dyDescent="0.25">
      <c r="A157" s="595"/>
      <c r="B157" s="595"/>
      <c r="F157" s="595"/>
      <c r="G157" s="595"/>
      <c r="H157" s="595"/>
    </row>
    <row r="158" spans="1:28" ht="12.5" x14ac:dyDescent="0.25">
      <c r="A158" s="595"/>
      <c r="B158" s="595"/>
      <c r="F158" s="595"/>
      <c r="G158" s="595"/>
      <c r="H158" s="595"/>
    </row>
    <row r="159" spans="1:28" ht="12.5" x14ac:dyDescent="0.25">
      <c r="A159" s="595"/>
      <c r="B159" s="595"/>
      <c r="F159" s="595"/>
      <c r="G159" s="595"/>
      <c r="H159" s="595"/>
    </row>
    <row r="160" spans="1:28" ht="12.5" x14ac:dyDescent="0.25">
      <c r="A160" s="595"/>
      <c r="B160" s="595"/>
      <c r="F160" s="595"/>
      <c r="G160" s="595"/>
      <c r="H160" s="595"/>
    </row>
    <row r="161" spans="1:8" ht="12.5" x14ac:dyDescent="0.25">
      <c r="A161" s="595"/>
      <c r="B161" s="595"/>
      <c r="F161" s="595"/>
      <c r="G161" s="595"/>
      <c r="H161" s="595"/>
    </row>
    <row r="162" spans="1:8" ht="12.5" x14ac:dyDescent="0.25">
      <c r="A162" s="595"/>
      <c r="B162" s="595"/>
      <c r="F162" s="595"/>
      <c r="G162" s="595"/>
      <c r="H162" s="595"/>
    </row>
    <row r="163" spans="1:8" ht="12.5" x14ac:dyDescent="0.25">
      <c r="A163" s="595"/>
      <c r="B163" s="595"/>
      <c r="F163" s="595"/>
      <c r="G163" s="595"/>
      <c r="H163" s="595"/>
    </row>
    <row r="164" spans="1:8" ht="12.5" x14ac:dyDescent="0.25">
      <c r="A164" s="595"/>
      <c r="B164" s="595"/>
      <c r="F164" s="595"/>
      <c r="G164" s="595"/>
      <c r="H164" s="595"/>
    </row>
    <row r="165" spans="1:8" ht="12.5" x14ac:dyDescent="0.25">
      <c r="A165" s="595"/>
      <c r="B165" s="595"/>
      <c r="F165" s="595"/>
      <c r="G165" s="595"/>
      <c r="H165" s="595"/>
    </row>
    <row r="166" spans="1:8" ht="12.5" x14ac:dyDescent="0.25">
      <c r="A166" s="595"/>
      <c r="B166" s="595"/>
      <c r="F166" s="595"/>
      <c r="G166" s="595"/>
      <c r="H166" s="595"/>
    </row>
  </sheetData>
  <mergeCells count="69">
    <mergeCell ref="T115:AA116"/>
    <mergeCell ref="T8:AA8"/>
    <mergeCell ref="K26:R27"/>
    <mergeCell ref="K5:R6"/>
    <mergeCell ref="K17:R19"/>
    <mergeCell ref="T47:AA47"/>
    <mergeCell ref="T41:AA42"/>
    <mergeCell ref="K11:R13"/>
    <mergeCell ref="T32:AA33"/>
    <mergeCell ref="K14:L15"/>
    <mergeCell ref="T14:AA15"/>
    <mergeCell ref="K22:R23"/>
    <mergeCell ref="N59:O59"/>
    <mergeCell ref="K76:R76"/>
    <mergeCell ref="J73:N74"/>
    <mergeCell ref="K69:R70"/>
    <mergeCell ref="B57:I58"/>
    <mergeCell ref="K50:R52"/>
    <mergeCell ref="T51:Z51"/>
    <mergeCell ref="J53:N54"/>
    <mergeCell ref="B31:H32"/>
    <mergeCell ref="A36:C37"/>
    <mergeCell ref="E36:F37"/>
    <mergeCell ref="H36:I37"/>
    <mergeCell ref="B42:I43"/>
    <mergeCell ref="T52:AA53"/>
    <mergeCell ref="K32:R33"/>
    <mergeCell ref="B14:G15"/>
    <mergeCell ref="T59:W60"/>
    <mergeCell ref="T126:AA127"/>
    <mergeCell ref="Y102:AA102"/>
    <mergeCell ref="T120:AA121"/>
    <mergeCell ref="T82:AA83"/>
    <mergeCell ref="T78:AA79"/>
    <mergeCell ref="T103:AA103"/>
    <mergeCell ref="X98:AA98"/>
    <mergeCell ref="X99:AA99"/>
    <mergeCell ref="Y100:AA101"/>
    <mergeCell ref="T86:AA86"/>
    <mergeCell ref="S96:W96"/>
    <mergeCell ref="S97:W97"/>
    <mergeCell ref="X97:AA97"/>
    <mergeCell ref="M104:N104"/>
    <mergeCell ref="B101:I101"/>
    <mergeCell ref="B123:I124"/>
    <mergeCell ref="B110:I111"/>
    <mergeCell ref="E113:F113"/>
    <mergeCell ref="B120:I120"/>
    <mergeCell ref="B105:I106"/>
    <mergeCell ref="E107:F107"/>
    <mergeCell ref="D109:F109"/>
    <mergeCell ref="K105:R106"/>
    <mergeCell ref="Q82:R82"/>
    <mergeCell ref="K80:R81"/>
    <mergeCell ref="K82:P82"/>
    <mergeCell ref="K101:R102"/>
    <mergeCell ref="K95:R95"/>
    <mergeCell ref="N62:O62"/>
    <mergeCell ref="J61:M63"/>
    <mergeCell ref="B66:I67"/>
    <mergeCell ref="B61:I62"/>
    <mergeCell ref="K64:R66"/>
    <mergeCell ref="J67:N68"/>
    <mergeCell ref="B137:I138"/>
    <mergeCell ref="K137:R139"/>
    <mergeCell ref="K141:Q142"/>
    <mergeCell ref="T137:AA139"/>
    <mergeCell ref="K129:R130"/>
    <mergeCell ref="B128:I129"/>
  </mergeCells>
  <pageMargins left="0.314" right="0.314" top="0.11799999999999999" bottom="0.27500000000000002" header="0.157" footer="0.11799999999999999"/>
  <pageSetup scale="89" firstPageNumber="31" orientation="landscape" r:id="rId1"/>
  <headerFooter>
    <oddFooter>&amp;C&amp;P</oddFooter>
  </headerFooter>
  <rowBreaks count="2" manualBreakCount="2">
    <brk id="45" max="27" man="1"/>
    <brk id="93" max="27"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N58"/>
  <sheetViews>
    <sheetView zoomScale="120" zoomScaleNormal="80" zoomScaleSheetLayoutView="120" workbookViewId="0">
      <selection activeCell="AQ37" sqref="AQ37"/>
    </sheetView>
  </sheetViews>
  <sheetFormatPr defaultColWidth="8.81640625" defaultRowHeight="12.5" x14ac:dyDescent="0.25"/>
  <cols>
    <col min="1" max="1" width="5.1796875" style="177" customWidth="1"/>
    <col min="2" max="2" width="3.7265625" style="145" customWidth="1"/>
    <col min="3" max="7" width="3.7265625" style="146" customWidth="1"/>
    <col min="8" max="9" width="5.1796875" style="147" bestFit="1" customWidth="1"/>
    <col min="10" max="10" width="4" style="147" customWidth="1"/>
    <col min="11" max="11" width="1.453125" style="147" customWidth="1"/>
    <col min="12" max="12" width="4.1796875" style="147" customWidth="1"/>
    <col min="13" max="13" width="1.7265625" style="147" customWidth="1"/>
    <col min="14" max="14" width="1.453125" style="147" customWidth="1"/>
    <col min="15" max="15" width="1" style="147" customWidth="1"/>
    <col min="16" max="16" width="5.1796875" style="147" customWidth="1"/>
    <col min="17" max="17" width="4" style="147" customWidth="1"/>
    <col min="18" max="18" width="2.1796875" style="147" customWidth="1"/>
    <col min="19" max="19" width="4.7265625" style="147" customWidth="1"/>
    <col min="20" max="20" width="2.453125" style="147" customWidth="1"/>
    <col min="21" max="21" width="1.453125" style="147" hidden="1" customWidth="1"/>
    <col min="22" max="22" width="4.7265625" style="147" customWidth="1"/>
    <col min="23" max="23" width="2.453125" style="147" customWidth="1"/>
    <col min="24" max="24" width="4.7265625" style="147" customWidth="1"/>
    <col min="25" max="25" width="2.453125" style="147" customWidth="1"/>
    <col min="26" max="26" width="5" style="147" customWidth="1"/>
    <col min="27" max="27" width="2.1796875" style="147" customWidth="1"/>
    <col min="28" max="28" width="1.1796875" style="147" customWidth="1"/>
    <col min="29" max="29" width="4" style="147" hidden="1" customWidth="1"/>
    <col min="30" max="30" width="5.81640625" style="147" customWidth="1"/>
    <col min="31" max="32" width="4" style="147" customWidth="1"/>
    <col min="33" max="33" width="5" style="146" customWidth="1"/>
    <col min="34" max="34" width="4" style="146" customWidth="1"/>
    <col min="35" max="35" width="2" style="146" customWidth="1"/>
    <col min="36" max="36" width="1.453125" style="146" customWidth="1"/>
    <col min="37" max="37" width="5.453125" style="146" customWidth="1"/>
    <col min="38" max="39" width="4" style="146" customWidth="1"/>
    <col min="40" max="40" width="0.1796875" style="146" customWidth="1"/>
  </cols>
  <sheetData>
    <row r="1" spans="1:40" ht="13.5" thickBot="1" x14ac:dyDescent="0.35">
      <c r="A1" s="144" t="s">
        <v>1834</v>
      </c>
    </row>
    <row r="2" spans="1:40" ht="16" thickBot="1" x14ac:dyDescent="0.4">
      <c r="A2" s="148"/>
      <c r="I2" s="1654">
        <v>12</v>
      </c>
      <c r="J2" s="3526" t="s">
        <v>1835</v>
      </c>
      <c r="K2" s="3526"/>
      <c r="L2" s="3526"/>
      <c r="M2" s="3526"/>
      <c r="N2" s="3526"/>
      <c r="O2" s="3526"/>
      <c r="P2" s="3526"/>
      <c r="Q2" s="3526"/>
      <c r="R2" s="3526"/>
      <c r="S2" s="3526"/>
      <c r="T2" s="3526"/>
      <c r="U2" s="1577"/>
      <c r="V2" s="1578"/>
      <c r="W2" s="1579"/>
    </row>
    <row r="3" spans="1:40" ht="15.5" x14ac:dyDescent="0.35">
      <c r="A3" s="148"/>
    </row>
    <row r="4" spans="1:40" x14ac:dyDescent="0.25">
      <c r="A4" s="149">
        <v>12.01</v>
      </c>
      <c r="B4" s="150" t="s">
        <v>1836</v>
      </c>
      <c r="C4" s="151"/>
      <c r="D4" s="151"/>
      <c r="E4" s="151"/>
      <c r="F4" s="151"/>
      <c r="G4" s="151"/>
      <c r="H4" s="2517">
        <f>A4+0.01</f>
        <v>12.02</v>
      </c>
      <c r="I4" s="153"/>
      <c r="J4" s="153"/>
      <c r="K4" s="154"/>
      <c r="L4" s="3522">
        <f>H4+0.01</f>
        <v>12.03</v>
      </c>
      <c r="M4" s="3523"/>
      <c r="N4" s="153"/>
      <c r="O4" s="154"/>
      <c r="P4" s="2517">
        <f>L4+0.01</f>
        <v>12.04</v>
      </c>
      <c r="Q4" s="153"/>
      <c r="R4" s="154"/>
      <c r="S4" s="3522">
        <f>P4+0.01</f>
        <v>12.049999999999999</v>
      </c>
      <c r="T4" s="3523"/>
      <c r="U4" s="3523"/>
      <c r="V4" s="3523"/>
      <c r="W4" s="3523"/>
      <c r="X4" s="3523"/>
      <c r="Y4" s="3524"/>
      <c r="Z4" s="2517">
        <f>S4+0.01</f>
        <v>12.059999999999999</v>
      </c>
      <c r="AA4" s="153"/>
      <c r="AB4" s="153"/>
      <c r="AC4" s="154"/>
      <c r="AD4" s="2517">
        <f>Z4+0.01</f>
        <v>12.069999999999999</v>
      </c>
      <c r="AE4" s="153"/>
      <c r="AF4" s="153"/>
      <c r="AG4" s="2517">
        <f>AD4+0.01</f>
        <v>12.079999999999998</v>
      </c>
      <c r="AH4" s="155"/>
      <c r="AI4" s="155"/>
      <c r="AJ4" s="156"/>
      <c r="AK4" s="2517">
        <f>AG4+0.01</f>
        <v>12.089999999999998</v>
      </c>
      <c r="AL4" s="155"/>
      <c r="AM4" s="155"/>
      <c r="AN4" s="156"/>
    </row>
    <row r="5" spans="1:40" ht="13.5" customHeight="1" x14ac:dyDescent="0.25">
      <c r="A5" s="3006" t="s">
        <v>1837</v>
      </c>
      <c r="B5" s="157"/>
      <c r="C5" s="158"/>
      <c r="D5" s="158"/>
      <c r="E5" s="158"/>
      <c r="F5" s="158"/>
      <c r="G5" s="158"/>
      <c r="H5" s="2784" t="s">
        <v>1838</v>
      </c>
      <c r="I5" s="2785"/>
      <c r="J5" s="2785"/>
      <c r="K5" s="2787"/>
      <c r="L5" s="3040" t="s">
        <v>1839</v>
      </c>
      <c r="M5" s="3504"/>
      <c r="N5" s="3504"/>
      <c r="O5" s="3038"/>
      <c r="P5" s="2784" t="s">
        <v>1840</v>
      </c>
      <c r="Q5" s="2785"/>
      <c r="R5" s="2787"/>
      <c r="S5" s="2784" t="s">
        <v>1841</v>
      </c>
      <c r="T5" s="2785"/>
      <c r="U5" s="2785"/>
      <c r="V5" s="2785"/>
      <c r="W5" s="2785"/>
      <c r="X5" s="2785"/>
      <c r="Y5" s="2787"/>
      <c r="Z5" s="2784" t="s">
        <v>1842</v>
      </c>
      <c r="AA5" s="2785"/>
      <c r="AB5" s="2785"/>
      <c r="AC5" s="2787"/>
      <c r="AD5" s="2784" t="s">
        <v>1843</v>
      </c>
      <c r="AE5" s="2785"/>
      <c r="AF5" s="2785"/>
      <c r="AG5" s="2784" t="s">
        <v>1844</v>
      </c>
      <c r="AH5" s="2785"/>
      <c r="AI5" s="2785"/>
      <c r="AJ5" s="2787"/>
      <c r="AK5" s="2784" t="s">
        <v>1845</v>
      </c>
      <c r="AL5" s="2785"/>
      <c r="AM5" s="2785"/>
      <c r="AN5" s="2787"/>
    </row>
    <row r="6" spans="1:40" x14ac:dyDescent="0.25">
      <c r="A6" s="3006"/>
      <c r="B6" s="160"/>
      <c r="C6" s="158"/>
      <c r="D6" s="158"/>
      <c r="E6" s="158"/>
      <c r="F6" s="158"/>
      <c r="G6" s="158"/>
      <c r="H6" s="2784"/>
      <c r="I6" s="2785"/>
      <c r="J6" s="2785"/>
      <c r="K6" s="2787"/>
      <c r="L6" s="3070"/>
      <c r="M6" s="3504"/>
      <c r="N6" s="3504"/>
      <c r="O6" s="3038"/>
      <c r="P6" s="2784"/>
      <c r="Q6" s="2785"/>
      <c r="R6" s="2787"/>
      <c r="S6" s="2784"/>
      <c r="T6" s="2785"/>
      <c r="U6" s="2785"/>
      <c r="V6" s="2785"/>
      <c r="W6" s="2785"/>
      <c r="X6" s="2785"/>
      <c r="Y6" s="2787"/>
      <c r="Z6" s="2784"/>
      <c r="AA6" s="2785"/>
      <c r="AB6" s="2785"/>
      <c r="AC6" s="2787"/>
      <c r="AD6" s="2784"/>
      <c r="AE6" s="2785"/>
      <c r="AF6" s="2785"/>
      <c r="AG6" s="2784"/>
      <c r="AH6" s="2785"/>
      <c r="AI6" s="2785"/>
      <c r="AJ6" s="2787"/>
      <c r="AK6" s="2784"/>
      <c r="AL6" s="2785"/>
      <c r="AM6" s="2785"/>
      <c r="AN6" s="2787"/>
    </row>
    <row r="7" spans="1:40" x14ac:dyDescent="0.25">
      <c r="A7" s="3006"/>
      <c r="B7" s="160"/>
      <c r="C7" s="158"/>
      <c r="D7" s="158"/>
      <c r="E7" s="158"/>
      <c r="F7" s="158"/>
      <c r="G7" s="158"/>
      <c r="H7" s="2784"/>
      <c r="I7" s="2785"/>
      <c r="J7" s="2785"/>
      <c r="K7" s="2787"/>
      <c r="L7" s="3070"/>
      <c r="M7" s="3504"/>
      <c r="N7" s="3504"/>
      <c r="O7" s="3038"/>
      <c r="P7" s="2784"/>
      <c r="Q7" s="2785"/>
      <c r="R7" s="2787"/>
      <c r="S7" s="2784"/>
      <c r="T7" s="2785"/>
      <c r="U7" s="2785"/>
      <c r="V7" s="2785"/>
      <c r="W7" s="2785"/>
      <c r="X7" s="2785"/>
      <c r="Y7" s="2787"/>
      <c r="Z7" s="2784"/>
      <c r="AA7" s="2785"/>
      <c r="AB7" s="2785"/>
      <c r="AC7" s="2787"/>
      <c r="AD7" s="2784"/>
      <c r="AE7" s="2785"/>
      <c r="AF7" s="2785"/>
      <c r="AG7" s="2784"/>
      <c r="AH7" s="2785"/>
      <c r="AI7" s="2785"/>
      <c r="AJ7" s="2787"/>
      <c r="AK7" s="2784"/>
      <c r="AL7" s="2785"/>
      <c r="AM7" s="2785"/>
      <c r="AN7" s="2787"/>
    </row>
    <row r="8" spans="1:40" x14ac:dyDescent="0.25">
      <c r="A8" s="3006"/>
      <c r="B8" s="160"/>
      <c r="C8" s="158"/>
      <c r="D8" s="158"/>
      <c r="E8" s="158"/>
      <c r="F8" s="158"/>
      <c r="G8" s="158"/>
      <c r="H8" s="2784"/>
      <c r="I8" s="2785"/>
      <c r="J8" s="2785"/>
      <c r="K8" s="2787"/>
      <c r="L8" s="3070"/>
      <c r="M8" s="3504"/>
      <c r="N8" s="3504"/>
      <c r="O8" s="3038"/>
      <c r="P8" s="2784"/>
      <c r="Q8" s="2785"/>
      <c r="R8" s="2787"/>
      <c r="S8" s="2784"/>
      <c r="T8" s="2785"/>
      <c r="U8" s="2785"/>
      <c r="V8" s="2785"/>
      <c r="W8" s="2785"/>
      <c r="X8" s="2785"/>
      <c r="Y8" s="2787"/>
      <c r="Z8" s="2784"/>
      <c r="AA8" s="2785"/>
      <c r="AB8" s="2785"/>
      <c r="AC8" s="2787"/>
      <c r="AD8" s="2784"/>
      <c r="AE8" s="2785"/>
      <c r="AF8" s="2785"/>
      <c r="AG8" s="2784"/>
      <c r="AH8" s="2785"/>
      <c r="AI8" s="2785"/>
      <c r="AJ8" s="2787"/>
      <c r="AK8" s="2784"/>
      <c r="AL8" s="2785"/>
      <c r="AM8" s="2785"/>
      <c r="AN8" s="2787"/>
    </row>
    <row r="9" spans="1:40" x14ac:dyDescent="0.25">
      <c r="A9" s="3006"/>
      <c r="B9" s="160"/>
      <c r="C9" s="158"/>
      <c r="D9" s="158"/>
      <c r="E9" s="158"/>
      <c r="F9" s="158"/>
      <c r="G9" s="158"/>
      <c r="H9" s="2784"/>
      <c r="I9" s="2785"/>
      <c r="J9" s="2785"/>
      <c r="K9" s="2787"/>
      <c r="L9" s="3070"/>
      <c r="M9" s="3504"/>
      <c r="N9" s="3504"/>
      <c r="O9" s="3038"/>
      <c r="P9" s="2784"/>
      <c r="Q9" s="2785"/>
      <c r="R9" s="2787"/>
      <c r="S9" s="2784"/>
      <c r="T9" s="2785"/>
      <c r="U9" s="2785"/>
      <c r="V9" s="2785"/>
      <c r="W9" s="2785"/>
      <c r="X9" s="2785"/>
      <c r="Y9" s="2787"/>
      <c r="Z9" s="2784"/>
      <c r="AA9" s="2785"/>
      <c r="AB9" s="2785"/>
      <c r="AC9" s="2787"/>
      <c r="AD9" s="2784"/>
      <c r="AE9" s="2785"/>
      <c r="AF9" s="2785"/>
      <c r="AG9" s="2784"/>
      <c r="AH9" s="2785"/>
      <c r="AI9" s="2785"/>
      <c r="AJ9" s="2787"/>
      <c r="AK9" s="2784"/>
      <c r="AL9" s="2785"/>
      <c r="AM9" s="2785"/>
      <c r="AN9" s="2787"/>
    </row>
    <row r="10" spans="1:40" x14ac:dyDescent="0.25">
      <c r="A10" s="3006"/>
      <c r="B10" s="160"/>
      <c r="C10" s="158"/>
      <c r="D10" s="158"/>
      <c r="E10" s="158"/>
      <c r="F10" s="158"/>
      <c r="G10" s="158"/>
      <c r="H10" s="2784"/>
      <c r="I10" s="2785"/>
      <c r="J10" s="2785"/>
      <c r="K10" s="2787"/>
      <c r="L10" s="3070"/>
      <c r="M10" s="3504"/>
      <c r="N10" s="3504"/>
      <c r="O10" s="3038"/>
      <c r="Q10" s="2427"/>
      <c r="R10" s="2428"/>
      <c r="S10" s="2784"/>
      <c r="T10" s="2785"/>
      <c r="U10" s="2785"/>
      <c r="V10" s="2785"/>
      <c r="W10" s="2785"/>
      <c r="X10" s="2785"/>
      <c r="Y10" s="2787"/>
      <c r="Z10" s="2784"/>
      <c r="AA10" s="2785"/>
      <c r="AB10" s="2785"/>
      <c r="AC10" s="2787"/>
      <c r="AD10" s="2784"/>
      <c r="AE10" s="2785"/>
      <c r="AF10" s="2785"/>
      <c r="AG10" s="2784"/>
      <c r="AH10" s="2785"/>
      <c r="AI10" s="2785"/>
      <c r="AJ10" s="2787"/>
      <c r="AK10" s="2784"/>
      <c r="AL10" s="2785"/>
      <c r="AM10" s="2785"/>
      <c r="AN10" s="2787"/>
    </row>
    <row r="11" spans="1:40" x14ac:dyDescent="0.25">
      <c r="A11" s="3006"/>
      <c r="B11" s="160"/>
      <c r="C11" s="158"/>
      <c r="D11" s="158"/>
      <c r="E11" s="158"/>
      <c r="F11" s="158"/>
      <c r="G11" s="158"/>
      <c r="H11" s="2784"/>
      <c r="I11" s="2785"/>
      <c r="J11" s="2785"/>
      <c r="K11" s="2787"/>
      <c r="L11" s="3070"/>
      <c r="M11" s="3504"/>
      <c r="N11" s="3504"/>
      <c r="O11" s="3038"/>
      <c r="P11" s="2426" t="s">
        <v>1230</v>
      </c>
      <c r="Q11" s="2427"/>
      <c r="R11" s="2428"/>
      <c r="S11" s="2426"/>
      <c r="T11" s="2427"/>
      <c r="U11" s="2428"/>
      <c r="V11" s="2369"/>
      <c r="W11" s="2369"/>
      <c r="X11" s="2369"/>
      <c r="Y11" s="2369"/>
      <c r="Z11" s="2784"/>
      <c r="AA11" s="2785"/>
      <c r="AB11" s="2785"/>
      <c r="AC11" s="2787"/>
      <c r="AD11" s="2784"/>
      <c r="AE11" s="2785"/>
      <c r="AF11" s="2785"/>
      <c r="AG11" s="2784"/>
      <c r="AH11" s="2785"/>
      <c r="AI11" s="2785"/>
      <c r="AJ11" s="2787"/>
      <c r="AK11" s="2784"/>
      <c r="AL11" s="2785"/>
      <c r="AM11" s="2785"/>
      <c r="AN11" s="2787"/>
    </row>
    <row r="12" spans="1:40" x14ac:dyDescent="0.25">
      <c r="A12" s="3006"/>
      <c r="B12" s="160"/>
      <c r="C12" s="158"/>
      <c r="D12" s="158"/>
      <c r="E12" s="158"/>
      <c r="F12" s="158"/>
      <c r="G12" s="158"/>
      <c r="H12" s="3501"/>
      <c r="I12" s="3502"/>
      <c r="J12" s="3502"/>
      <c r="K12" s="3503"/>
      <c r="L12" s="3070"/>
      <c r="M12" s="3504"/>
      <c r="N12" s="3504"/>
      <c r="O12" s="3038"/>
      <c r="P12" s="1090" t="str">
        <f>CONCATENATE("2=Non ►(",ROUND(Z4,2),")" )</f>
        <v>2=Non ►(12.06)</v>
      </c>
      <c r="Q12" s="2427"/>
      <c r="R12" s="2428"/>
      <c r="S12" s="3517" t="s">
        <v>1846</v>
      </c>
      <c r="T12" s="3525"/>
      <c r="U12" s="1347"/>
      <c r="V12" s="3517" t="s">
        <v>1847</v>
      </c>
      <c r="W12" s="3525"/>
      <c r="X12" s="3517" t="s">
        <v>1848</v>
      </c>
      <c r="Y12" s="3518"/>
      <c r="Z12" s="2784"/>
      <c r="AA12" s="2785"/>
      <c r="AB12" s="2785"/>
      <c r="AC12" s="2787"/>
      <c r="AD12" s="2784"/>
      <c r="AE12" s="2785"/>
      <c r="AF12" s="2785"/>
      <c r="AG12" s="2784"/>
      <c r="AH12" s="2785"/>
      <c r="AI12" s="2785"/>
      <c r="AJ12" s="2787"/>
      <c r="AK12" s="2784"/>
      <c r="AL12" s="2785"/>
      <c r="AM12" s="2785"/>
      <c r="AN12" s="2787"/>
    </row>
    <row r="13" spans="1:40" x14ac:dyDescent="0.25">
      <c r="A13" s="3500"/>
      <c r="B13" s="3512" t="s">
        <v>1849</v>
      </c>
      <c r="C13" s="3512"/>
      <c r="D13" s="3512"/>
      <c r="E13" s="3512"/>
      <c r="F13" s="3512"/>
      <c r="G13" s="3512"/>
      <c r="H13" s="3511" t="s">
        <v>346</v>
      </c>
      <c r="I13" s="3383"/>
      <c r="J13" s="3383"/>
      <c r="K13" s="3384"/>
      <c r="L13" s="3511" t="s">
        <v>141</v>
      </c>
      <c r="M13" s="3512"/>
      <c r="N13" s="3512"/>
      <c r="O13" s="3513"/>
      <c r="P13" s="3527" t="s">
        <v>346</v>
      </c>
      <c r="Q13" s="3528"/>
      <c r="R13" s="3529"/>
      <c r="S13" s="3527" t="s">
        <v>170</v>
      </c>
      <c r="T13" s="3528"/>
      <c r="U13" s="3384"/>
      <c r="V13" s="3382" t="s">
        <v>170</v>
      </c>
      <c r="W13" s="3383"/>
      <c r="X13" s="3382" t="s">
        <v>170</v>
      </c>
      <c r="Y13" s="3384"/>
      <c r="Z13" s="3511" t="s">
        <v>346</v>
      </c>
      <c r="AA13" s="3383"/>
      <c r="AB13" s="3383"/>
      <c r="AC13" s="3384"/>
      <c r="AD13" s="3511" t="s">
        <v>350</v>
      </c>
      <c r="AE13" s="3512"/>
      <c r="AF13" s="3512"/>
      <c r="AG13" s="3505" t="s">
        <v>353</v>
      </c>
      <c r="AH13" s="3506"/>
      <c r="AI13" s="3506"/>
      <c r="AJ13" s="3507"/>
      <c r="AK13" s="3505" t="s">
        <v>353</v>
      </c>
      <c r="AL13" s="3506"/>
      <c r="AM13" s="3506"/>
      <c r="AN13" s="3507"/>
    </row>
    <row r="14" spans="1:40" ht="18.75" customHeight="1" x14ac:dyDescent="0.25">
      <c r="A14" s="164">
        <v>1</v>
      </c>
      <c r="B14" s="165" t="s">
        <v>1850</v>
      </c>
      <c r="C14" s="166"/>
      <c r="D14" s="166"/>
      <c r="E14" s="166"/>
      <c r="F14" s="166"/>
      <c r="G14" s="166"/>
      <c r="H14" s="167"/>
      <c r="I14" s="2491"/>
      <c r="J14" s="2491"/>
      <c r="K14" s="2491"/>
      <c r="L14" s="167"/>
      <c r="M14" s="166"/>
      <c r="N14" s="166"/>
      <c r="O14" s="166"/>
      <c r="P14" s="1168"/>
      <c r="Q14" s="1169"/>
      <c r="R14" s="1170"/>
      <c r="S14" s="1169"/>
      <c r="T14" s="1170"/>
      <c r="U14" s="2491"/>
      <c r="V14" s="1169"/>
      <c r="W14" s="1170"/>
      <c r="X14" s="1169"/>
      <c r="Y14" s="1170"/>
      <c r="Z14" s="167"/>
      <c r="AA14" s="2491"/>
      <c r="AB14" s="2491"/>
      <c r="AC14" s="2491"/>
      <c r="AD14" s="167"/>
      <c r="AE14" s="166"/>
      <c r="AF14" s="166"/>
      <c r="AG14" s="168"/>
      <c r="AH14" s="169"/>
      <c r="AI14" s="169"/>
      <c r="AJ14" s="169"/>
      <c r="AK14" s="167"/>
      <c r="AL14" s="2491"/>
      <c r="AM14" s="2491"/>
      <c r="AN14" s="2492"/>
    </row>
    <row r="15" spans="1:40" ht="18.75" customHeight="1" x14ac:dyDescent="0.25">
      <c r="A15" s="164">
        <f>A14+1</f>
        <v>2</v>
      </c>
      <c r="B15" s="170" t="s">
        <v>1851</v>
      </c>
      <c r="C15" s="166"/>
      <c r="D15" s="166"/>
      <c r="E15" s="166"/>
      <c r="F15" s="166"/>
      <c r="G15" s="166"/>
      <c r="H15" s="167"/>
      <c r="I15" s="2491"/>
      <c r="J15" s="2491"/>
      <c r="K15" s="2491"/>
      <c r="L15" s="167"/>
      <c r="M15" s="166"/>
      <c r="N15" s="166"/>
      <c r="O15" s="166"/>
      <c r="P15" s="1168"/>
      <c r="Q15" s="1169"/>
      <c r="R15" s="1170"/>
      <c r="S15" s="1169"/>
      <c r="T15" s="1170"/>
      <c r="U15" s="2491"/>
      <c r="V15" s="1169"/>
      <c r="W15" s="1170"/>
      <c r="X15" s="1169"/>
      <c r="Y15" s="1170"/>
      <c r="Z15" s="167"/>
      <c r="AA15" s="2491"/>
      <c r="AB15" s="2491"/>
      <c r="AC15" s="2491"/>
      <c r="AD15" s="167"/>
      <c r="AE15" s="166"/>
      <c r="AF15" s="166"/>
      <c r="AG15" s="168"/>
      <c r="AH15" s="169"/>
      <c r="AI15" s="169"/>
      <c r="AJ15" s="169"/>
      <c r="AK15" s="167"/>
      <c r="AL15" s="2491"/>
      <c r="AM15" s="2491"/>
      <c r="AN15" s="2492"/>
    </row>
    <row r="16" spans="1:40" ht="18.75" customHeight="1" x14ac:dyDescent="0.25">
      <c r="A16" s="164">
        <f t="shared" ref="A16:A58" si="0">A15+1</f>
        <v>3</v>
      </c>
      <c r="B16" s="170" t="s">
        <v>1852</v>
      </c>
      <c r="C16" s="165"/>
      <c r="D16" s="165"/>
      <c r="E16" s="165"/>
      <c r="F16" s="165"/>
      <c r="G16" s="165"/>
      <c r="H16" s="172"/>
      <c r="I16" s="173"/>
      <c r="J16" s="173"/>
      <c r="K16" s="173"/>
      <c r="L16" s="172"/>
      <c r="M16" s="173"/>
      <c r="N16" s="173"/>
      <c r="O16" s="173"/>
      <c r="P16" s="1168"/>
      <c r="Q16" s="1169"/>
      <c r="R16" s="1170"/>
      <c r="S16" s="1169"/>
      <c r="T16" s="1170"/>
      <c r="U16" s="173"/>
      <c r="V16" s="1169"/>
      <c r="W16" s="1170"/>
      <c r="X16" s="1169"/>
      <c r="Y16" s="1170"/>
      <c r="Z16" s="172"/>
      <c r="AA16" s="173"/>
      <c r="AB16" s="173"/>
      <c r="AC16" s="173"/>
      <c r="AD16" s="172"/>
      <c r="AE16" s="173"/>
      <c r="AF16" s="173"/>
      <c r="AG16" s="174"/>
      <c r="AH16" s="165"/>
      <c r="AI16" s="165"/>
      <c r="AJ16" s="165"/>
      <c r="AK16" s="174"/>
      <c r="AL16" s="165"/>
      <c r="AM16" s="165"/>
      <c r="AN16" s="171"/>
    </row>
    <row r="17" spans="1:40" ht="18.75" customHeight="1" x14ac:dyDescent="0.25">
      <c r="A17" s="164">
        <f t="shared" si="0"/>
        <v>4</v>
      </c>
      <c r="B17" s="170" t="s">
        <v>1853</v>
      </c>
      <c r="C17" s="165"/>
      <c r="D17" s="165"/>
      <c r="E17" s="165"/>
      <c r="F17" s="165"/>
      <c r="G17" s="165"/>
      <c r="H17" s="172"/>
      <c r="I17" s="173"/>
      <c r="J17" s="173"/>
      <c r="K17" s="173"/>
      <c r="L17" s="172"/>
      <c r="M17" s="173"/>
      <c r="N17" s="173"/>
      <c r="O17" s="173"/>
      <c r="P17" s="1168"/>
      <c r="Q17" s="1169"/>
      <c r="R17" s="1170"/>
      <c r="S17" s="1169"/>
      <c r="T17" s="1170"/>
      <c r="U17" s="173"/>
      <c r="V17" s="1169"/>
      <c r="W17" s="1170"/>
      <c r="X17" s="1169"/>
      <c r="Y17" s="1170"/>
      <c r="Z17" s="172"/>
      <c r="AA17" s="173"/>
      <c r="AB17" s="173"/>
      <c r="AC17" s="173"/>
      <c r="AD17" s="172"/>
      <c r="AE17" s="173"/>
      <c r="AF17" s="173"/>
      <c r="AG17" s="174"/>
      <c r="AH17" s="165"/>
      <c r="AI17" s="165"/>
      <c r="AJ17" s="165"/>
      <c r="AK17" s="174"/>
      <c r="AL17" s="165"/>
      <c r="AM17" s="165"/>
      <c r="AN17" s="171"/>
    </row>
    <row r="18" spans="1:40" ht="18.75" customHeight="1" x14ac:dyDescent="0.25">
      <c r="A18" s="164">
        <f t="shared" si="0"/>
        <v>5</v>
      </c>
      <c r="B18" s="170" t="s">
        <v>1854</v>
      </c>
      <c r="C18" s="165"/>
      <c r="D18" s="165"/>
      <c r="E18" s="165"/>
      <c r="F18" s="165"/>
      <c r="G18" s="165"/>
      <c r="H18" s="172"/>
      <c r="I18" s="173"/>
      <c r="J18" s="173"/>
      <c r="K18" s="173"/>
      <c r="L18" s="172"/>
      <c r="M18" s="173"/>
      <c r="N18" s="173"/>
      <c r="O18" s="173"/>
      <c r="P18" s="1168"/>
      <c r="Q18" s="1169"/>
      <c r="R18" s="1170"/>
      <c r="S18" s="1169"/>
      <c r="T18" s="1170"/>
      <c r="U18" s="173"/>
      <c r="V18" s="1169"/>
      <c r="W18" s="1170"/>
      <c r="X18" s="1169"/>
      <c r="Y18" s="1170"/>
      <c r="Z18" s="172"/>
      <c r="AA18" s="173"/>
      <c r="AB18" s="173"/>
      <c r="AC18" s="173"/>
      <c r="AD18" s="172"/>
      <c r="AE18" s="173"/>
      <c r="AF18" s="173"/>
      <c r="AG18" s="174"/>
      <c r="AH18" s="165"/>
      <c r="AI18" s="165"/>
      <c r="AJ18" s="165"/>
      <c r="AK18" s="174"/>
      <c r="AL18" s="165"/>
      <c r="AM18" s="165"/>
      <c r="AN18" s="171"/>
    </row>
    <row r="19" spans="1:40" ht="18.75" customHeight="1" x14ac:dyDescent="0.25">
      <c r="A19" s="164">
        <f t="shared" si="0"/>
        <v>6</v>
      </c>
      <c r="B19" s="170" t="s">
        <v>1855</v>
      </c>
      <c r="C19" s="165"/>
      <c r="D19" s="165"/>
      <c r="E19" s="165"/>
      <c r="F19" s="165"/>
      <c r="G19" s="165"/>
      <c r="H19" s="172"/>
      <c r="I19" s="173"/>
      <c r="J19" s="173"/>
      <c r="K19" s="173"/>
      <c r="L19" s="172"/>
      <c r="M19" s="173"/>
      <c r="N19" s="173"/>
      <c r="O19" s="173"/>
      <c r="P19" s="1168"/>
      <c r="Q19" s="1169"/>
      <c r="R19" s="1170"/>
      <c r="S19" s="1169"/>
      <c r="T19" s="1170"/>
      <c r="U19" s="173"/>
      <c r="V19" s="1169"/>
      <c r="W19" s="1170"/>
      <c r="X19" s="1169"/>
      <c r="Y19" s="1170"/>
      <c r="Z19" s="172"/>
      <c r="AA19" s="173"/>
      <c r="AB19" s="173"/>
      <c r="AC19" s="173"/>
      <c r="AD19" s="172"/>
      <c r="AE19" s="173"/>
      <c r="AF19" s="173"/>
      <c r="AG19" s="174"/>
      <c r="AH19" s="165"/>
      <c r="AI19" s="165"/>
      <c r="AJ19" s="165"/>
      <c r="AK19" s="174"/>
      <c r="AL19" s="165"/>
      <c r="AM19" s="165"/>
      <c r="AN19" s="171"/>
    </row>
    <row r="20" spans="1:40" ht="18.75" customHeight="1" x14ac:dyDescent="0.25">
      <c r="A20" s="164">
        <f t="shared" si="0"/>
        <v>7</v>
      </c>
      <c r="B20" s="170" t="s">
        <v>1856</v>
      </c>
      <c r="C20" s="165"/>
      <c r="D20" s="165"/>
      <c r="E20" s="165"/>
      <c r="F20" s="165"/>
      <c r="G20" s="165"/>
      <c r="H20" s="172"/>
      <c r="I20" s="173"/>
      <c r="J20" s="173"/>
      <c r="K20" s="173"/>
      <c r="L20" s="172"/>
      <c r="M20" s="173"/>
      <c r="N20" s="173"/>
      <c r="O20" s="173"/>
      <c r="P20" s="1168"/>
      <c r="Q20" s="1169"/>
      <c r="R20" s="1170"/>
      <c r="S20" s="1169"/>
      <c r="T20" s="1170"/>
      <c r="U20" s="173"/>
      <c r="V20" s="1169"/>
      <c r="W20" s="1170"/>
      <c r="X20" s="1169"/>
      <c r="Y20" s="1170"/>
      <c r="Z20" s="172"/>
      <c r="AA20" s="173"/>
      <c r="AB20" s="173"/>
      <c r="AC20" s="173"/>
      <c r="AD20" s="172"/>
      <c r="AE20" s="173"/>
      <c r="AF20" s="173"/>
      <c r="AG20" s="174"/>
      <c r="AH20" s="165"/>
      <c r="AI20" s="165"/>
      <c r="AJ20" s="165"/>
      <c r="AK20" s="174"/>
      <c r="AL20" s="165"/>
      <c r="AM20" s="165"/>
      <c r="AN20" s="171"/>
    </row>
    <row r="21" spans="1:40" ht="18.75" customHeight="1" x14ac:dyDescent="0.25">
      <c r="A21" s="164">
        <f t="shared" si="0"/>
        <v>8</v>
      </c>
      <c r="B21" s="170" t="s">
        <v>1857</v>
      </c>
      <c r="C21" s="165"/>
      <c r="D21" s="165"/>
      <c r="E21" s="165"/>
      <c r="F21" s="165"/>
      <c r="G21" s="165"/>
      <c r="H21" s="172"/>
      <c r="I21" s="173"/>
      <c r="J21" s="173"/>
      <c r="K21" s="173"/>
      <c r="L21" s="172"/>
      <c r="M21" s="173"/>
      <c r="N21" s="173"/>
      <c r="O21" s="173"/>
      <c r="P21" s="1168"/>
      <c r="Q21" s="1169"/>
      <c r="R21" s="1170"/>
      <c r="S21" s="1169"/>
      <c r="T21" s="1170"/>
      <c r="U21" s="173"/>
      <c r="V21" s="1169"/>
      <c r="W21" s="1170"/>
      <c r="X21" s="1169"/>
      <c r="Y21" s="1170"/>
      <c r="Z21" s="172"/>
      <c r="AA21" s="173"/>
      <c r="AB21" s="173"/>
      <c r="AC21" s="173"/>
      <c r="AD21" s="172"/>
      <c r="AE21" s="173"/>
      <c r="AF21" s="173"/>
      <c r="AG21" s="174"/>
      <c r="AH21" s="165"/>
      <c r="AI21" s="165"/>
      <c r="AJ21" s="165"/>
      <c r="AK21" s="174"/>
      <c r="AL21" s="165"/>
      <c r="AM21" s="165"/>
      <c r="AN21" s="171"/>
    </row>
    <row r="22" spans="1:40" ht="18.75" customHeight="1" x14ac:dyDescent="0.25">
      <c r="A22" s="164">
        <f t="shared" si="0"/>
        <v>9</v>
      </c>
      <c r="B22" s="170" t="s">
        <v>1858</v>
      </c>
      <c r="C22" s="165"/>
      <c r="D22" s="165"/>
      <c r="E22" s="165"/>
      <c r="F22" s="165"/>
      <c r="G22" s="165"/>
      <c r="H22" s="172"/>
      <c r="I22" s="173"/>
      <c r="J22" s="173"/>
      <c r="K22" s="173"/>
      <c r="L22" s="172"/>
      <c r="M22" s="173"/>
      <c r="N22" s="173"/>
      <c r="O22" s="173"/>
      <c r="P22" s="1168"/>
      <c r="Q22" s="1169"/>
      <c r="R22" s="1170"/>
      <c r="S22" s="1169"/>
      <c r="T22" s="1170"/>
      <c r="U22" s="173"/>
      <c r="V22" s="1169"/>
      <c r="W22" s="1170"/>
      <c r="X22" s="1169"/>
      <c r="Y22" s="1170"/>
      <c r="Z22" s="172"/>
      <c r="AA22" s="173"/>
      <c r="AB22" s="173"/>
      <c r="AC22" s="173"/>
      <c r="AD22" s="172"/>
      <c r="AE22" s="173"/>
      <c r="AF22" s="173"/>
      <c r="AG22" s="174"/>
      <c r="AH22" s="165"/>
      <c r="AI22" s="165"/>
      <c r="AJ22" s="165"/>
      <c r="AK22" s="174"/>
      <c r="AL22" s="165"/>
      <c r="AM22" s="165"/>
      <c r="AN22" s="171"/>
    </row>
    <row r="23" spans="1:40" ht="18.75" customHeight="1" x14ac:dyDescent="0.25">
      <c r="A23" s="164">
        <f t="shared" si="0"/>
        <v>10</v>
      </c>
      <c r="B23" s="170" t="s">
        <v>1859</v>
      </c>
      <c r="C23" s="165"/>
      <c r="D23" s="165"/>
      <c r="E23" s="165"/>
      <c r="F23" s="165"/>
      <c r="G23" s="165"/>
      <c r="H23" s="172"/>
      <c r="I23" s="173"/>
      <c r="J23" s="173"/>
      <c r="K23" s="173"/>
      <c r="L23" s="172"/>
      <c r="M23" s="173"/>
      <c r="N23" s="173"/>
      <c r="O23" s="173"/>
      <c r="P23" s="1168"/>
      <c r="Q23" s="1169"/>
      <c r="R23" s="1170"/>
      <c r="S23" s="1169"/>
      <c r="T23" s="1170"/>
      <c r="U23" s="173"/>
      <c r="V23" s="1169"/>
      <c r="W23" s="1170"/>
      <c r="X23" s="1169"/>
      <c r="Y23" s="1170"/>
      <c r="Z23" s="172"/>
      <c r="AA23" s="173"/>
      <c r="AB23" s="173"/>
      <c r="AC23" s="173"/>
      <c r="AD23" s="172"/>
      <c r="AE23" s="173"/>
      <c r="AF23" s="173"/>
      <c r="AG23" s="174"/>
      <c r="AH23" s="165"/>
      <c r="AI23" s="165"/>
      <c r="AJ23" s="165"/>
      <c r="AK23" s="174"/>
      <c r="AL23" s="165"/>
      <c r="AM23" s="165"/>
      <c r="AN23" s="171"/>
    </row>
    <row r="24" spans="1:40" ht="27" customHeight="1" x14ac:dyDescent="0.25">
      <c r="A24" s="164">
        <f t="shared" si="0"/>
        <v>11</v>
      </c>
      <c r="B24" s="3508" t="s">
        <v>1860</v>
      </c>
      <c r="C24" s="3509"/>
      <c r="D24" s="3509"/>
      <c r="E24" s="3509"/>
      <c r="F24" s="3509"/>
      <c r="G24" s="3510"/>
      <c r="H24" s="172"/>
      <c r="I24" s="173"/>
      <c r="J24" s="173"/>
      <c r="K24" s="173"/>
      <c r="L24" s="172"/>
      <c r="M24" s="173"/>
      <c r="N24" s="173"/>
      <c r="O24" s="173"/>
      <c r="P24" s="1168"/>
      <c r="Q24" s="1169"/>
      <c r="R24" s="1170"/>
      <c r="S24" s="1169"/>
      <c r="T24" s="1170"/>
      <c r="U24" s="173"/>
      <c r="V24" s="1169"/>
      <c r="W24" s="1170"/>
      <c r="X24" s="1169"/>
      <c r="Y24" s="1170"/>
      <c r="Z24" s="172"/>
      <c r="AA24" s="173"/>
      <c r="AB24" s="173"/>
      <c r="AC24" s="173"/>
      <c r="AD24" s="172"/>
      <c r="AE24" s="173"/>
      <c r="AF24" s="173"/>
      <c r="AG24" s="174"/>
      <c r="AH24" s="165"/>
      <c r="AI24" s="165"/>
      <c r="AJ24" s="165"/>
      <c r="AK24" s="174"/>
      <c r="AL24" s="165"/>
      <c r="AM24" s="165"/>
      <c r="AN24" s="171"/>
    </row>
    <row r="25" spans="1:40" ht="18.75" customHeight="1" x14ac:dyDescent="0.25">
      <c r="A25" s="164">
        <f t="shared" si="0"/>
        <v>12</v>
      </c>
      <c r="B25" s="763" t="s">
        <v>1861</v>
      </c>
      <c r="C25" s="165"/>
      <c r="D25" s="165"/>
      <c r="E25" s="165"/>
      <c r="F25" s="165"/>
      <c r="G25" s="165"/>
      <c r="H25" s="172"/>
      <c r="I25" s="173"/>
      <c r="J25" s="173"/>
      <c r="K25" s="173"/>
      <c r="L25" s="172"/>
      <c r="M25" s="173"/>
      <c r="N25" s="173"/>
      <c r="O25" s="173"/>
      <c r="P25" s="1168"/>
      <c r="Q25" s="1169"/>
      <c r="R25" s="1170"/>
      <c r="S25" s="1169"/>
      <c r="T25" s="1170"/>
      <c r="U25" s="173"/>
      <c r="V25" s="1169"/>
      <c r="W25" s="1170"/>
      <c r="X25" s="1169"/>
      <c r="Y25" s="1170"/>
      <c r="Z25" s="172"/>
      <c r="AA25" s="173"/>
      <c r="AB25" s="173"/>
      <c r="AC25" s="173"/>
      <c r="AD25" s="172"/>
      <c r="AE25" s="173"/>
      <c r="AF25" s="173"/>
      <c r="AG25" s="174"/>
      <c r="AH25" s="165"/>
      <c r="AI25" s="165"/>
      <c r="AJ25" s="165"/>
      <c r="AK25" s="174"/>
      <c r="AL25" s="165"/>
      <c r="AM25" s="165"/>
      <c r="AN25" s="171"/>
    </row>
    <row r="26" spans="1:40" ht="18.75" customHeight="1" x14ac:dyDescent="0.25">
      <c r="A26" s="164">
        <f t="shared" si="0"/>
        <v>13</v>
      </c>
      <c r="B26" s="762" t="s">
        <v>1862</v>
      </c>
      <c r="C26" s="165"/>
      <c r="D26" s="165"/>
      <c r="E26" s="165"/>
      <c r="F26" s="165"/>
      <c r="G26" s="165"/>
      <c r="H26" s="172"/>
      <c r="I26" s="173"/>
      <c r="J26" s="173"/>
      <c r="K26" s="173"/>
      <c r="L26" s="172"/>
      <c r="M26" s="173"/>
      <c r="N26" s="173"/>
      <c r="O26" s="173"/>
      <c r="P26" s="1168"/>
      <c r="Q26" s="1169"/>
      <c r="R26" s="1170"/>
      <c r="S26" s="1169"/>
      <c r="T26" s="1170"/>
      <c r="U26" s="173"/>
      <c r="V26" s="1169"/>
      <c r="W26" s="1170"/>
      <c r="X26" s="1169"/>
      <c r="Y26" s="1170"/>
      <c r="Z26" s="172"/>
      <c r="AA26" s="173"/>
      <c r="AB26" s="173"/>
      <c r="AC26" s="173"/>
      <c r="AD26" s="172"/>
      <c r="AE26" s="173"/>
      <c r="AF26" s="173"/>
      <c r="AG26" s="174"/>
      <c r="AH26" s="165"/>
      <c r="AI26" s="165"/>
      <c r="AJ26" s="165"/>
      <c r="AK26" s="174"/>
      <c r="AL26" s="165"/>
      <c r="AM26" s="165"/>
      <c r="AN26" s="171"/>
    </row>
    <row r="27" spans="1:40" ht="29.25" customHeight="1" x14ac:dyDescent="0.25">
      <c r="A27" s="164">
        <f t="shared" si="0"/>
        <v>14</v>
      </c>
      <c r="B27" s="3519" t="s">
        <v>1863</v>
      </c>
      <c r="C27" s="3520"/>
      <c r="D27" s="3520"/>
      <c r="E27" s="3520"/>
      <c r="F27" s="3520"/>
      <c r="G27" s="3521"/>
      <c r="H27" s="172"/>
      <c r="I27" s="173"/>
      <c r="J27" s="173"/>
      <c r="K27" s="173"/>
      <c r="L27" s="172"/>
      <c r="M27" s="173"/>
      <c r="N27" s="173"/>
      <c r="O27" s="173"/>
      <c r="P27" s="1168"/>
      <c r="Q27" s="1169"/>
      <c r="R27" s="1170"/>
      <c r="S27" s="1169"/>
      <c r="T27" s="1170"/>
      <c r="U27" s="173"/>
      <c r="V27" s="1169"/>
      <c r="W27" s="1170"/>
      <c r="X27" s="1169"/>
      <c r="Y27" s="1170"/>
      <c r="Z27" s="172"/>
      <c r="AA27" s="173"/>
      <c r="AB27" s="173"/>
      <c r="AC27" s="173"/>
      <c r="AD27" s="172"/>
      <c r="AE27" s="173"/>
      <c r="AF27" s="173"/>
      <c r="AG27" s="174"/>
      <c r="AH27" s="165"/>
      <c r="AI27" s="165"/>
      <c r="AJ27" s="165"/>
      <c r="AK27" s="174"/>
      <c r="AL27" s="165"/>
      <c r="AM27" s="165"/>
      <c r="AN27" s="171"/>
    </row>
    <row r="28" spans="1:40" ht="18.75" customHeight="1" x14ac:dyDescent="0.25">
      <c r="A28" s="164">
        <f t="shared" si="0"/>
        <v>15</v>
      </c>
      <c r="B28" s="170" t="s">
        <v>1864</v>
      </c>
      <c r="C28" s="165"/>
      <c r="D28" s="165"/>
      <c r="E28" s="165"/>
      <c r="F28" s="165"/>
      <c r="G28" s="165"/>
      <c r="H28" s="172"/>
      <c r="I28" s="173"/>
      <c r="J28" s="173"/>
      <c r="K28" s="173"/>
      <c r="L28" s="172"/>
      <c r="M28" s="173"/>
      <c r="N28" s="173"/>
      <c r="O28" s="173"/>
      <c r="P28" s="1168"/>
      <c r="Q28" s="1169"/>
      <c r="R28" s="1170"/>
      <c r="S28" s="1169"/>
      <c r="T28" s="1170"/>
      <c r="U28" s="173"/>
      <c r="V28" s="1169"/>
      <c r="W28" s="1170"/>
      <c r="X28" s="1169"/>
      <c r="Y28" s="1170"/>
      <c r="Z28" s="172"/>
      <c r="AA28" s="173"/>
      <c r="AB28" s="173"/>
      <c r="AC28" s="173"/>
      <c r="AD28" s="172"/>
      <c r="AE28" s="173"/>
      <c r="AF28" s="173"/>
      <c r="AG28" s="174"/>
      <c r="AH28" s="165"/>
      <c r="AI28" s="165"/>
      <c r="AJ28" s="165"/>
      <c r="AK28" s="174"/>
      <c r="AL28" s="165"/>
      <c r="AM28" s="165"/>
      <c r="AN28" s="171"/>
    </row>
    <row r="29" spans="1:40" ht="18.75" customHeight="1" x14ac:dyDescent="0.25">
      <c r="A29" s="164">
        <f t="shared" si="0"/>
        <v>16</v>
      </c>
      <c r="B29" s="170" t="s">
        <v>1865</v>
      </c>
      <c r="C29" s="165"/>
      <c r="D29" s="165"/>
      <c r="E29" s="165"/>
      <c r="F29" s="165"/>
      <c r="G29" s="165"/>
      <c r="H29" s="172"/>
      <c r="I29" s="173"/>
      <c r="J29" s="173"/>
      <c r="K29" s="173"/>
      <c r="L29" s="172"/>
      <c r="M29" s="173"/>
      <c r="N29" s="173"/>
      <c r="O29" s="173"/>
      <c r="P29" s="1168"/>
      <c r="Q29" s="1169"/>
      <c r="R29" s="1170"/>
      <c r="S29" s="1169"/>
      <c r="T29" s="1170"/>
      <c r="U29" s="173"/>
      <c r="V29" s="1169"/>
      <c r="W29" s="1170"/>
      <c r="X29" s="1169"/>
      <c r="Y29" s="1170"/>
      <c r="Z29" s="172"/>
      <c r="AA29" s="173"/>
      <c r="AB29" s="173"/>
      <c r="AC29" s="173"/>
      <c r="AD29" s="172"/>
      <c r="AE29" s="173"/>
      <c r="AF29" s="173"/>
      <c r="AG29" s="174"/>
      <c r="AH29" s="165"/>
      <c r="AI29" s="165"/>
      <c r="AJ29" s="165"/>
      <c r="AK29" s="174"/>
      <c r="AL29" s="165"/>
      <c r="AM29" s="165"/>
      <c r="AN29" s="171"/>
    </row>
    <row r="30" spans="1:40" ht="18.75" customHeight="1" x14ac:dyDescent="0.25">
      <c r="A30" s="164">
        <f t="shared" si="0"/>
        <v>17</v>
      </c>
      <c r="B30" s="170" t="s">
        <v>1866</v>
      </c>
      <c r="C30" s="165"/>
      <c r="D30" s="165"/>
      <c r="E30" s="165"/>
      <c r="F30" s="165"/>
      <c r="G30" s="165"/>
      <c r="H30" s="172"/>
      <c r="I30" s="173"/>
      <c r="J30" s="173"/>
      <c r="K30" s="173"/>
      <c r="L30" s="172"/>
      <c r="M30" s="173"/>
      <c r="N30" s="173"/>
      <c r="O30" s="173"/>
      <c r="P30" s="1168"/>
      <c r="Q30" s="1169"/>
      <c r="R30" s="1170"/>
      <c r="S30" s="1169"/>
      <c r="T30" s="1170"/>
      <c r="U30" s="173"/>
      <c r="V30" s="1169"/>
      <c r="W30" s="1170"/>
      <c r="X30" s="1169"/>
      <c r="Y30" s="1170"/>
      <c r="Z30" s="172"/>
      <c r="AA30" s="173"/>
      <c r="AB30" s="173"/>
      <c r="AC30" s="173"/>
      <c r="AD30" s="172"/>
      <c r="AE30" s="173"/>
      <c r="AF30" s="173"/>
      <c r="AG30" s="174"/>
      <c r="AH30" s="165"/>
      <c r="AI30" s="165"/>
      <c r="AJ30" s="165"/>
      <c r="AK30" s="174"/>
      <c r="AL30" s="165"/>
      <c r="AM30" s="165"/>
      <c r="AN30" s="171"/>
    </row>
    <row r="31" spans="1:40" ht="18.75" customHeight="1" x14ac:dyDescent="0.25">
      <c r="A31" s="164">
        <f t="shared" si="0"/>
        <v>18</v>
      </c>
      <c r="B31" s="170" t="s">
        <v>1867</v>
      </c>
      <c r="C31" s="165"/>
      <c r="D31" s="165"/>
      <c r="E31" s="165"/>
      <c r="F31" s="165"/>
      <c r="G31" s="165"/>
      <c r="H31" s="172"/>
      <c r="I31" s="173"/>
      <c r="J31" s="173"/>
      <c r="K31" s="173"/>
      <c r="L31" s="172"/>
      <c r="M31" s="173"/>
      <c r="N31" s="173"/>
      <c r="O31" s="173"/>
      <c r="P31" s="1168"/>
      <c r="Q31" s="1169"/>
      <c r="R31" s="1170"/>
      <c r="S31" s="1169"/>
      <c r="T31" s="1170"/>
      <c r="U31" s="173"/>
      <c r="V31" s="1169"/>
      <c r="W31" s="1170"/>
      <c r="X31" s="1169"/>
      <c r="Y31" s="1170"/>
      <c r="Z31" s="172"/>
      <c r="AA31" s="173"/>
      <c r="AB31" s="173"/>
      <c r="AC31" s="173"/>
      <c r="AD31" s="172"/>
      <c r="AE31" s="173"/>
      <c r="AF31" s="173"/>
      <c r="AG31" s="174"/>
      <c r="AH31" s="165"/>
      <c r="AI31" s="165"/>
      <c r="AJ31" s="165"/>
      <c r="AK31" s="174"/>
      <c r="AL31" s="165"/>
      <c r="AM31" s="165"/>
      <c r="AN31" s="171"/>
    </row>
    <row r="32" spans="1:40" ht="18.75" customHeight="1" x14ac:dyDescent="0.25">
      <c r="A32" s="164">
        <f t="shared" si="0"/>
        <v>19</v>
      </c>
      <c r="B32" s="170" t="s">
        <v>1868</v>
      </c>
      <c r="C32" s="165"/>
      <c r="D32" s="165"/>
      <c r="E32" s="165"/>
      <c r="F32" s="165"/>
      <c r="G32" s="165"/>
      <c r="H32" s="172"/>
      <c r="I32" s="173"/>
      <c r="J32" s="173"/>
      <c r="K32" s="173"/>
      <c r="L32" s="172"/>
      <c r="M32" s="173"/>
      <c r="N32" s="173"/>
      <c r="O32" s="173"/>
      <c r="P32" s="1168"/>
      <c r="Q32" s="1169"/>
      <c r="R32" s="1170"/>
      <c r="S32" s="1169"/>
      <c r="T32" s="1170"/>
      <c r="U32" s="173"/>
      <c r="V32" s="1169"/>
      <c r="W32" s="1170"/>
      <c r="X32" s="1169"/>
      <c r="Y32" s="1170"/>
      <c r="Z32" s="172"/>
      <c r="AA32" s="173"/>
      <c r="AB32" s="173"/>
      <c r="AC32" s="173"/>
      <c r="AD32" s="172"/>
      <c r="AE32" s="173"/>
      <c r="AF32" s="173"/>
      <c r="AG32" s="174"/>
      <c r="AH32" s="165"/>
      <c r="AI32" s="165"/>
      <c r="AJ32" s="165"/>
      <c r="AK32" s="174"/>
      <c r="AL32" s="165"/>
      <c r="AM32" s="165"/>
      <c r="AN32" s="171"/>
    </row>
    <row r="33" spans="1:40" ht="18.75" customHeight="1" x14ac:dyDescent="0.25">
      <c r="A33" s="164">
        <f t="shared" si="0"/>
        <v>20</v>
      </c>
      <c r="B33" s="170" t="s">
        <v>1869</v>
      </c>
      <c r="C33" s="165"/>
      <c r="D33" s="165"/>
      <c r="E33" s="165"/>
      <c r="F33" s="165"/>
      <c r="G33" s="165"/>
      <c r="H33" s="172"/>
      <c r="I33" s="173"/>
      <c r="J33" s="173"/>
      <c r="K33" s="173"/>
      <c r="L33" s="172"/>
      <c r="M33" s="173"/>
      <c r="N33" s="173"/>
      <c r="O33" s="173"/>
      <c r="P33" s="1168"/>
      <c r="Q33" s="1169"/>
      <c r="R33" s="1170"/>
      <c r="S33" s="1169"/>
      <c r="T33" s="1170"/>
      <c r="U33" s="173"/>
      <c r="V33" s="1169"/>
      <c r="W33" s="1170"/>
      <c r="X33" s="1169"/>
      <c r="Y33" s="1170"/>
      <c r="Z33" s="172"/>
      <c r="AA33" s="173"/>
      <c r="AB33" s="173"/>
      <c r="AC33" s="173"/>
      <c r="AD33" s="172"/>
      <c r="AE33" s="173"/>
      <c r="AF33" s="173"/>
      <c r="AG33" s="174"/>
      <c r="AH33" s="165"/>
      <c r="AI33" s="165"/>
      <c r="AJ33" s="165"/>
      <c r="AK33" s="174"/>
      <c r="AL33" s="165"/>
      <c r="AM33" s="165"/>
      <c r="AN33" s="171"/>
    </row>
    <row r="34" spans="1:40" ht="18.75" customHeight="1" x14ac:dyDescent="0.25">
      <c r="A34" s="164">
        <f t="shared" si="0"/>
        <v>21</v>
      </c>
      <c r="B34" s="158" t="s">
        <v>1870</v>
      </c>
      <c r="C34" s="165"/>
      <c r="D34" s="165"/>
      <c r="E34" s="165"/>
      <c r="F34" s="165"/>
      <c r="G34" s="165"/>
      <c r="H34" s="172"/>
      <c r="I34" s="173"/>
      <c r="J34" s="173"/>
      <c r="K34" s="173"/>
      <c r="L34" s="172"/>
      <c r="M34" s="173"/>
      <c r="N34" s="173"/>
      <c r="O34" s="173"/>
      <c r="P34" s="1168"/>
      <c r="Q34" s="1169"/>
      <c r="R34" s="1170"/>
      <c r="S34" s="1169"/>
      <c r="T34" s="1170"/>
      <c r="U34" s="173"/>
      <c r="V34" s="1169"/>
      <c r="W34" s="1170"/>
      <c r="X34" s="1169"/>
      <c r="Y34" s="1170"/>
      <c r="Z34" s="172"/>
      <c r="AA34" s="173"/>
      <c r="AB34" s="173"/>
      <c r="AC34" s="173"/>
      <c r="AD34" s="172"/>
      <c r="AE34" s="173"/>
      <c r="AF34" s="173"/>
      <c r="AG34" s="174"/>
      <c r="AH34" s="165"/>
      <c r="AI34" s="165"/>
      <c r="AJ34" s="165"/>
      <c r="AK34" s="174"/>
      <c r="AL34" s="165"/>
      <c r="AM34" s="165"/>
      <c r="AN34" s="171"/>
    </row>
    <row r="35" spans="1:40" ht="18.75" customHeight="1" x14ac:dyDescent="0.25">
      <c r="A35" s="164">
        <f t="shared" si="0"/>
        <v>22</v>
      </c>
      <c r="B35" s="165" t="s">
        <v>1871</v>
      </c>
      <c r="C35" s="165"/>
      <c r="D35" s="165"/>
      <c r="E35" s="165"/>
      <c r="F35" s="165"/>
      <c r="G35" s="165"/>
      <c r="H35" s="172"/>
      <c r="I35" s="173"/>
      <c r="J35" s="173"/>
      <c r="K35" s="173"/>
      <c r="L35" s="172"/>
      <c r="M35" s="173"/>
      <c r="N35" s="173"/>
      <c r="O35" s="173"/>
      <c r="P35" s="1168"/>
      <c r="Q35" s="1169"/>
      <c r="R35" s="1170"/>
      <c r="S35" s="1169"/>
      <c r="T35" s="1170"/>
      <c r="U35" s="173"/>
      <c r="V35" s="1169"/>
      <c r="W35" s="1170"/>
      <c r="X35" s="1169"/>
      <c r="Y35" s="1170"/>
      <c r="Z35" s="172"/>
      <c r="AA35" s="173"/>
      <c r="AB35" s="173"/>
      <c r="AC35" s="173"/>
      <c r="AD35" s="172"/>
      <c r="AE35" s="173"/>
      <c r="AF35" s="173"/>
      <c r="AG35" s="174"/>
      <c r="AH35" s="165"/>
      <c r="AI35" s="165"/>
      <c r="AJ35" s="165"/>
      <c r="AK35" s="174"/>
      <c r="AL35" s="165"/>
      <c r="AM35" s="165"/>
      <c r="AN35" s="171"/>
    </row>
    <row r="36" spans="1:40" ht="18.75" customHeight="1" x14ac:dyDescent="0.25">
      <c r="A36" s="164">
        <f t="shared" si="0"/>
        <v>23</v>
      </c>
      <c r="B36" s="165" t="s">
        <v>1872</v>
      </c>
      <c r="C36" s="165"/>
      <c r="D36" s="165"/>
      <c r="E36" s="165"/>
      <c r="F36" s="165"/>
      <c r="G36" s="165"/>
      <c r="H36" s="172"/>
      <c r="I36" s="173"/>
      <c r="J36" s="173"/>
      <c r="K36" s="173"/>
      <c r="L36" s="172"/>
      <c r="M36" s="173"/>
      <c r="N36" s="173"/>
      <c r="O36" s="173"/>
      <c r="P36" s="1168"/>
      <c r="Q36" s="1169"/>
      <c r="R36" s="1170"/>
      <c r="S36" s="1169"/>
      <c r="T36" s="1170"/>
      <c r="U36" s="173"/>
      <c r="V36" s="1169"/>
      <c r="W36" s="1170"/>
      <c r="X36" s="1169"/>
      <c r="Y36" s="1170"/>
      <c r="Z36" s="172"/>
      <c r="AA36" s="173"/>
      <c r="AB36" s="173"/>
      <c r="AC36" s="173"/>
      <c r="AD36" s="172"/>
      <c r="AE36" s="173"/>
      <c r="AF36" s="173"/>
      <c r="AG36" s="174"/>
      <c r="AH36" s="165"/>
      <c r="AI36" s="165"/>
      <c r="AJ36" s="165"/>
      <c r="AK36" s="174"/>
      <c r="AL36" s="165"/>
      <c r="AM36" s="165"/>
      <c r="AN36" s="171"/>
    </row>
    <row r="37" spans="1:40" ht="18.75" customHeight="1" x14ac:dyDescent="0.25">
      <c r="A37" s="164">
        <f t="shared" si="0"/>
        <v>24</v>
      </c>
      <c r="B37" s="165" t="s">
        <v>1873</v>
      </c>
      <c r="C37" s="165"/>
      <c r="D37" s="165"/>
      <c r="E37" s="165"/>
      <c r="F37" s="165"/>
      <c r="G37" s="165"/>
      <c r="H37" s="172"/>
      <c r="I37" s="173"/>
      <c r="J37" s="173"/>
      <c r="K37" s="173"/>
      <c r="L37" s="172"/>
      <c r="M37" s="173"/>
      <c r="N37" s="173"/>
      <c r="O37" s="173"/>
      <c r="P37" s="1168"/>
      <c r="Q37" s="1169"/>
      <c r="R37" s="1170"/>
      <c r="S37" s="1169"/>
      <c r="T37" s="1170"/>
      <c r="U37" s="173"/>
      <c r="V37" s="1169"/>
      <c r="W37" s="1170"/>
      <c r="X37" s="1169"/>
      <c r="Y37" s="1170"/>
      <c r="Z37" s="172"/>
      <c r="AA37" s="173"/>
      <c r="AB37" s="173"/>
      <c r="AC37" s="173"/>
      <c r="AD37" s="172"/>
      <c r="AE37" s="173"/>
      <c r="AF37" s="173"/>
      <c r="AG37" s="174"/>
      <c r="AH37" s="165"/>
      <c r="AI37" s="165"/>
      <c r="AJ37" s="165"/>
      <c r="AK37" s="174"/>
      <c r="AL37" s="165"/>
      <c r="AM37" s="165"/>
      <c r="AN37" s="171"/>
    </row>
    <row r="38" spans="1:40" ht="18.75" customHeight="1" x14ac:dyDescent="0.25">
      <c r="A38" s="164">
        <f t="shared" si="0"/>
        <v>25</v>
      </c>
      <c r="B38" s="165" t="s">
        <v>1874</v>
      </c>
      <c r="C38" s="165"/>
      <c r="D38" s="165"/>
      <c r="E38" s="165"/>
      <c r="F38" s="165"/>
      <c r="G38" s="165"/>
      <c r="H38" s="172"/>
      <c r="I38" s="173"/>
      <c r="J38" s="173"/>
      <c r="K38" s="173"/>
      <c r="L38" s="172"/>
      <c r="M38" s="173"/>
      <c r="N38" s="173"/>
      <c r="O38" s="173"/>
      <c r="P38" s="1168"/>
      <c r="Q38" s="1169"/>
      <c r="R38" s="1170"/>
      <c r="S38" s="1169"/>
      <c r="T38" s="1170"/>
      <c r="U38" s="173"/>
      <c r="V38" s="1169"/>
      <c r="W38" s="1170"/>
      <c r="X38" s="1169"/>
      <c r="Y38" s="1170"/>
      <c r="Z38" s="172"/>
      <c r="AA38" s="173"/>
      <c r="AB38" s="173"/>
      <c r="AC38" s="173"/>
      <c r="AD38" s="172"/>
      <c r="AE38" s="173"/>
      <c r="AF38" s="173"/>
      <c r="AG38" s="174"/>
      <c r="AH38" s="165"/>
      <c r="AI38" s="165"/>
      <c r="AJ38" s="165"/>
      <c r="AK38" s="174"/>
      <c r="AL38" s="165"/>
      <c r="AM38" s="165"/>
      <c r="AN38" s="171"/>
    </row>
    <row r="39" spans="1:40" ht="29.25" customHeight="1" x14ac:dyDescent="0.25">
      <c r="A39" s="164">
        <f t="shared" si="0"/>
        <v>26</v>
      </c>
      <c r="B39" s="3519" t="s">
        <v>1875</v>
      </c>
      <c r="C39" s="3520"/>
      <c r="D39" s="3520"/>
      <c r="E39" s="3520"/>
      <c r="F39" s="3520"/>
      <c r="G39" s="3521"/>
      <c r="H39" s="172"/>
      <c r="I39" s="173"/>
      <c r="J39" s="173"/>
      <c r="K39" s="173"/>
      <c r="L39" s="172"/>
      <c r="M39" s="173"/>
      <c r="N39" s="173"/>
      <c r="O39" s="173"/>
      <c r="P39" s="1168"/>
      <c r="Q39" s="1169"/>
      <c r="R39" s="1170"/>
      <c r="S39" s="1169"/>
      <c r="T39" s="1170"/>
      <c r="U39" s="173"/>
      <c r="V39" s="1169"/>
      <c r="W39" s="1170"/>
      <c r="X39" s="1169"/>
      <c r="Y39" s="1170"/>
      <c r="Z39" s="172"/>
      <c r="AA39" s="173"/>
      <c r="AB39" s="173"/>
      <c r="AC39" s="173"/>
      <c r="AD39" s="172"/>
      <c r="AE39" s="173"/>
      <c r="AF39" s="173"/>
      <c r="AG39" s="174"/>
      <c r="AH39" s="165"/>
      <c r="AI39" s="165"/>
      <c r="AJ39" s="165"/>
      <c r="AK39" s="174"/>
      <c r="AL39" s="165"/>
      <c r="AM39" s="165"/>
      <c r="AN39" s="171"/>
    </row>
    <row r="40" spans="1:40" ht="18.75" customHeight="1" x14ac:dyDescent="0.25">
      <c r="A40" s="164">
        <f t="shared" si="0"/>
        <v>27</v>
      </c>
      <c r="B40" s="3514" t="s">
        <v>1876</v>
      </c>
      <c r="C40" s="3515"/>
      <c r="D40" s="3515"/>
      <c r="E40" s="3515"/>
      <c r="F40" s="3515"/>
      <c r="G40" s="3516"/>
      <c r="H40" s="172"/>
      <c r="I40" s="173"/>
      <c r="J40" s="173"/>
      <c r="K40" s="173"/>
      <c r="L40" s="172"/>
      <c r="M40" s="173"/>
      <c r="N40" s="173"/>
      <c r="O40" s="173"/>
      <c r="P40" s="1168"/>
      <c r="Q40" s="1169"/>
      <c r="R40" s="1170"/>
      <c r="S40" s="1169"/>
      <c r="T40" s="1170"/>
      <c r="U40" s="173"/>
      <c r="V40" s="1169"/>
      <c r="W40" s="1170"/>
      <c r="X40" s="1169"/>
      <c r="Y40" s="1170"/>
      <c r="Z40" s="172"/>
      <c r="AA40" s="173"/>
      <c r="AB40" s="173"/>
      <c r="AC40" s="173"/>
      <c r="AD40" s="172"/>
      <c r="AE40" s="173"/>
      <c r="AF40" s="173"/>
      <c r="AG40" s="174"/>
      <c r="AH40" s="165"/>
      <c r="AI40" s="165"/>
      <c r="AJ40" s="165"/>
      <c r="AK40" s="174"/>
      <c r="AL40" s="165"/>
      <c r="AM40" s="165"/>
      <c r="AN40" s="171"/>
    </row>
    <row r="41" spans="1:40" ht="18.75" customHeight="1" x14ac:dyDescent="0.25">
      <c r="A41" s="164">
        <f t="shared" si="0"/>
        <v>28</v>
      </c>
      <c r="B41" s="170" t="s">
        <v>1877</v>
      </c>
      <c r="C41" s="165"/>
      <c r="D41" s="165"/>
      <c r="E41" s="165"/>
      <c r="F41" s="165"/>
      <c r="G41" s="165"/>
      <c r="H41" s="172"/>
      <c r="I41" s="173"/>
      <c r="J41" s="173"/>
      <c r="K41" s="173"/>
      <c r="L41" s="172"/>
      <c r="M41" s="173"/>
      <c r="N41" s="173"/>
      <c r="O41" s="173"/>
      <c r="P41" s="172"/>
      <c r="Q41" s="173"/>
      <c r="R41" s="173"/>
      <c r="S41" s="172"/>
      <c r="T41" s="173"/>
      <c r="U41" s="173"/>
      <c r="V41" s="172"/>
      <c r="W41" s="173"/>
      <c r="X41" s="172"/>
      <c r="Y41" s="173"/>
      <c r="Z41" s="172"/>
      <c r="AA41" s="173"/>
      <c r="AB41" s="173"/>
      <c r="AC41" s="173"/>
      <c r="AD41" s="172"/>
      <c r="AE41" s="173"/>
      <c r="AF41" s="173"/>
      <c r="AG41" s="174"/>
      <c r="AH41" s="165"/>
      <c r="AI41" s="165"/>
      <c r="AJ41" s="165"/>
      <c r="AK41" s="174"/>
      <c r="AL41" s="165"/>
      <c r="AM41" s="165"/>
      <c r="AN41" s="171"/>
    </row>
    <row r="42" spans="1:40" ht="18.75" customHeight="1" x14ac:dyDescent="0.25">
      <c r="A42" s="164">
        <f t="shared" si="0"/>
        <v>29</v>
      </c>
      <c r="B42" s="165" t="s">
        <v>1878</v>
      </c>
      <c r="C42" s="165"/>
      <c r="D42" s="165"/>
      <c r="E42" s="165"/>
      <c r="F42" s="165"/>
      <c r="G42" s="165"/>
      <c r="H42" s="172"/>
      <c r="I42" s="173"/>
      <c r="J42" s="173"/>
      <c r="K42" s="173"/>
      <c r="L42" s="172"/>
      <c r="M42" s="173"/>
      <c r="N42" s="173"/>
      <c r="O42" s="173"/>
      <c r="P42" s="172"/>
      <c r="Q42" s="173"/>
      <c r="R42" s="173"/>
      <c r="S42" s="172"/>
      <c r="T42" s="173"/>
      <c r="U42" s="173"/>
      <c r="V42" s="172"/>
      <c r="W42" s="173"/>
      <c r="X42" s="172"/>
      <c r="Y42" s="173"/>
      <c r="Z42" s="172"/>
      <c r="AA42" s="173"/>
      <c r="AB42" s="173"/>
      <c r="AC42" s="173"/>
      <c r="AD42" s="172"/>
      <c r="AE42" s="173"/>
      <c r="AF42" s="173"/>
      <c r="AG42" s="174"/>
      <c r="AH42" s="165"/>
      <c r="AI42" s="165"/>
      <c r="AJ42" s="165"/>
      <c r="AK42" s="174"/>
      <c r="AL42" s="165"/>
      <c r="AM42" s="165"/>
      <c r="AN42" s="171"/>
    </row>
    <row r="43" spans="1:40" ht="18.75" customHeight="1" x14ac:dyDescent="0.25">
      <c r="A43" s="164">
        <f t="shared" si="0"/>
        <v>30</v>
      </c>
      <c r="B43" s="176" t="s">
        <v>1879</v>
      </c>
      <c r="C43" s="165"/>
      <c r="D43" s="165"/>
      <c r="E43" s="165"/>
      <c r="F43" s="165"/>
      <c r="G43" s="165"/>
      <c r="H43" s="172"/>
      <c r="I43" s="173"/>
      <c r="J43" s="173"/>
      <c r="K43" s="173"/>
      <c r="L43" s="172"/>
      <c r="M43" s="173"/>
      <c r="N43" s="173"/>
      <c r="O43" s="173"/>
      <c r="P43" s="172"/>
      <c r="Q43" s="173"/>
      <c r="R43" s="173"/>
      <c r="S43" s="172"/>
      <c r="T43" s="173"/>
      <c r="U43" s="173"/>
      <c r="V43" s="172"/>
      <c r="W43" s="173"/>
      <c r="X43" s="172"/>
      <c r="Y43" s="173"/>
      <c r="Z43" s="172"/>
      <c r="AA43" s="173"/>
      <c r="AB43" s="173"/>
      <c r="AC43" s="173"/>
      <c r="AD43" s="172"/>
      <c r="AE43" s="173"/>
      <c r="AF43" s="173"/>
      <c r="AG43" s="174"/>
      <c r="AH43" s="165"/>
      <c r="AI43" s="165"/>
      <c r="AJ43" s="165"/>
      <c r="AK43" s="174"/>
      <c r="AL43" s="165"/>
      <c r="AM43" s="165"/>
      <c r="AN43" s="171"/>
    </row>
    <row r="44" spans="1:40" ht="18.75" customHeight="1" x14ac:dyDescent="0.25">
      <c r="A44" s="164">
        <f t="shared" si="0"/>
        <v>31</v>
      </c>
      <c r="B44" s="176" t="s">
        <v>1880</v>
      </c>
      <c r="C44" s="165"/>
      <c r="D44" s="165"/>
      <c r="E44" s="165"/>
      <c r="F44" s="165"/>
      <c r="G44" s="165"/>
      <c r="H44" s="172"/>
      <c r="I44" s="173"/>
      <c r="J44" s="173"/>
      <c r="K44" s="173"/>
      <c r="L44" s="172"/>
      <c r="M44" s="173"/>
      <c r="N44" s="173"/>
      <c r="O44" s="173"/>
      <c r="P44" s="564"/>
      <c r="Q44" s="565"/>
      <c r="R44" s="567"/>
      <c r="S44" s="565"/>
      <c r="T44" s="567"/>
      <c r="U44" s="173"/>
      <c r="V44" s="565"/>
      <c r="W44" s="567"/>
      <c r="X44" s="565"/>
      <c r="Y44" s="567"/>
      <c r="Z44" s="172"/>
      <c r="AA44" s="173"/>
      <c r="AB44" s="173"/>
      <c r="AC44" s="173"/>
      <c r="AD44" s="172"/>
      <c r="AE44" s="173"/>
      <c r="AF44" s="173"/>
      <c r="AG44" s="174"/>
      <c r="AH44" s="165"/>
      <c r="AI44" s="165"/>
      <c r="AJ44" s="165"/>
      <c r="AK44" s="174"/>
      <c r="AL44" s="165"/>
      <c r="AM44" s="165"/>
      <c r="AN44" s="171"/>
    </row>
    <row r="45" spans="1:40" ht="18.75" customHeight="1" x14ac:dyDescent="0.25">
      <c r="A45" s="164">
        <f t="shared" si="0"/>
        <v>32</v>
      </c>
      <c r="B45" s="176" t="s">
        <v>1881</v>
      </c>
      <c r="C45" s="165"/>
      <c r="D45" s="165"/>
      <c r="E45" s="165"/>
      <c r="F45" s="165"/>
      <c r="G45" s="165"/>
      <c r="H45" s="172"/>
      <c r="I45" s="173"/>
      <c r="J45" s="173"/>
      <c r="K45" s="173"/>
      <c r="L45" s="172"/>
      <c r="M45" s="173"/>
      <c r="N45" s="173"/>
      <c r="O45" s="173"/>
      <c r="P45" s="1204"/>
      <c r="Q45" s="1205"/>
      <c r="R45" s="1206"/>
      <c r="S45" s="1205"/>
      <c r="T45" s="1206"/>
      <c r="U45" s="173"/>
      <c r="V45" s="1205"/>
      <c r="W45" s="1206"/>
      <c r="X45" s="1205"/>
      <c r="Y45" s="1206"/>
      <c r="Z45" s="172"/>
      <c r="AA45" s="173"/>
      <c r="AB45" s="173"/>
      <c r="AC45" s="173"/>
      <c r="AD45" s="172"/>
      <c r="AE45" s="173"/>
      <c r="AF45" s="173"/>
      <c r="AG45" s="174"/>
      <c r="AH45" s="165"/>
      <c r="AI45" s="165"/>
      <c r="AJ45" s="165"/>
      <c r="AK45" s="174"/>
      <c r="AL45" s="165"/>
      <c r="AM45" s="165"/>
      <c r="AN45" s="171"/>
    </row>
    <row r="46" spans="1:40" ht="18.75" customHeight="1" x14ac:dyDescent="0.25">
      <c r="A46" s="164">
        <f t="shared" si="0"/>
        <v>33</v>
      </c>
      <c r="B46" s="176" t="s">
        <v>1882</v>
      </c>
      <c r="C46" s="165"/>
      <c r="D46" s="165"/>
      <c r="E46" s="165"/>
      <c r="F46" s="165"/>
      <c r="G46" s="165"/>
      <c r="H46" s="172"/>
      <c r="I46" s="173"/>
      <c r="J46" s="173"/>
      <c r="K46" s="173"/>
      <c r="L46" s="172"/>
      <c r="M46" s="173"/>
      <c r="N46" s="173"/>
      <c r="O46" s="173"/>
      <c r="P46" s="564"/>
      <c r="Q46" s="565"/>
      <c r="R46" s="567"/>
      <c r="S46" s="564"/>
      <c r="T46" s="567"/>
      <c r="U46" s="173"/>
      <c r="V46" s="564"/>
      <c r="W46" s="567"/>
      <c r="X46" s="564"/>
      <c r="Y46" s="567"/>
      <c r="Z46" s="172"/>
      <c r="AA46" s="173"/>
      <c r="AB46" s="173"/>
      <c r="AC46" s="173"/>
      <c r="AD46" s="172"/>
      <c r="AE46" s="173"/>
      <c r="AF46" s="173"/>
      <c r="AG46" s="174"/>
      <c r="AH46" s="165"/>
      <c r="AI46" s="165"/>
      <c r="AJ46" s="165"/>
      <c r="AK46" s="174"/>
      <c r="AL46" s="165"/>
      <c r="AM46" s="165"/>
      <c r="AN46" s="171"/>
    </row>
    <row r="47" spans="1:40" ht="18.75" customHeight="1" x14ac:dyDescent="0.25">
      <c r="A47" s="164">
        <f t="shared" si="0"/>
        <v>34</v>
      </c>
      <c r="B47" s="176" t="s">
        <v>1883</v>
      </c>
      <c r="C47" s="165"/>
      <c r="D47" s="165"/>
      <c r="E47" s="165"/>
      <c r="F47" s="165"/>
      <c r="G47" s="165"/>
      <c r="H47" s="172"/>
      <c r="I47" s="173"/>
      <c r="J47" s="173"/>
      <c r="K47" s="173"/>
      <c r="L47" s="172"/>
      <c r="M47" s="173"/>
      <c r="N47" s="173"/>
      <c r="O47" s="173"/>
      <c r="P47" s="1207"/>
      <c r="Q47" s="1208"/>
      <c r="R47" s="1209"/>
      <c r="S47" s="1208"/>
      <c r="T47" s="1209"/>
      <c r="U47" s="173"/>
      <c r="V47" s="1208"/>
      <c r="W47" s="1209"/>
      <c r="X47" s="1208"/>
      <c r="Y47" s="1209"/>
      <c r="Z47" s="172"/>
      <c r="AA47" s="173"/>
      <c r="AB47" s="173"/>
      <c r="AC47" s="173"/>
      <c r="AD47" s="172"/>
      <c r="AE47" s="173"/>
      <c r="AF47" s="173"/>
      <c r="AG47" s="172"/>
      <c r="AH47" s="173"/>
      <c r="AI47" s="173"/>
      <c r="AJ47" s="175"/>
      <c r="AK47" s="174"/>
      <c r="AL47" s="165"/>
      <c r="AM47" s="165"/>
      <c r="AN47" s="171"/>
    </row>
    <row r="48" spans="1:40" ht="18.75" customHeight="1" x14ac:dyDescent="0.25">
      <c r="A48" s="164">
        <f t="shared" si="0"/>
        <v>35</v>
      </c>
      <c r="B48" s="176" t="s">
        <v>1884</v>
      </c>
      <c r="C48" s="173"/>
      <c r="D48" s="173"/>
      <c r="E48" s="173"/>
      <c r="F48" s="173"/>
      <c r="G48" s="173"/>
      <c r="H48" s="172"/>
      <c r="I48" s="173"/>
      <c r="J48" s="173"/>
      <c r="K48" s="173"/>
      <c r="L48" s="172"/>
      <c r="M48" s="173"/>
      <c r="N48" s="173"/>
      <c r="O48" s="173"/>
      <c r="P48" s="172"/>
      <c r="Q48" s="173"/>
      <c r="R48" s="173"/>
      <c r="S48" s="172"/>
      <c r="T48" s="173"/>
      <c r="U48" s="173"/>
      <c r="V48" s="172"/>
      <c r="W48" s="173"/>
      <c r="X48" s="172"/>
      <c r="Y48" s="173"/>
      <c r="Z48" s="172"/>
      <c r="AA48" s="173"/>
      <c r="AB48" s="173"/>
      <c r="AC48" s="173"/>
      <c r="AD48" s="172"/>
      <c r="AE48" s="173"/>
      <c r="AF48" s="173"/>
      <c r="AG48" s="172"/>
      <c r="AH48" s="173"/>
      <c r="AI48" s="173"/>
      <c r="AJ48" s="175"/>
      <c r="AK48" s="174"/>
      <c r="AL48" s="165"/>
      <c r="AM48" s="165"/>
      <c r="AN48" s="171"/>
    </row>
    <row r="49" spans="1:40" ht="18.75" customHeight="1" x14ac:dyDescent="0.25">
      <c r="A49" s="164">
        <f t="shared" si="0"/>
        <v>36</v>
      </c>
      <c r="B49" s="176" t="s">
        <v>1885</v>
      </c>
      <c r="C49" s="173"/>
      <c r="D49" s="173"/>
      <c r="E49" s="173"/>
      <c r="F49" s="173"/>
      <c r="G49" s="173"/>
      <c r="H49" s="172"/>
      <c r="I49" s="173"/>
      <c r="J49" s="173"/>
      <c r="K49" s="173"/>
      <c r="L49" s="172"/>
      <c r="M49" s="173"/>
      <c r="N49" s="173"/>
      <c r="O49" s="173"/>
      <c r="P49" s="172"/>
      <c r="Q49" s="173"/>
      <c r="R49" s="173"/>
      <c r="S49" s="172"/>
      <c r="T49" s="173"/>
      <c r="U49" s="173"/>
      <c r="V49" s="172"/>
      <c r="W49" s="173"/>
      <c r="X49" s="172"/>
      <c r="Y49" s="173"/>
      <c r="Z49" s="172"/>
      <c r="AA49" s="173"/>
      <c r="AB49" s="173"/>
      <c r="AC49" s="173"/>
      <c r="AD49" s="172"/>
      <c r="AE49" s="173"/>
      <c r="AF49" s="173"/>
      <c r="AG49" s="172"/>
      <c r="AH49" s="173"/>
      <c r="AI49" s="173"/>
      <c r="AJ49" s="175"/>
      <c r="AK49" s="174"/>
      <c r="AL49" s="165"/>
      <c r="AM49" s="165"/>
      <c r="AN49" s="171"/>
    </row>
    <row r="50" spans="1:40" ht="18.75" customHeight="1" x14ac:dyDescent="0.25">
      <c r="A50" s="164">
        <f t="shared" si="0"/>
        <v>37</v>
      </c>
      <c r="B50" s="176" t="s">
        <v>1886</v>
      </c>
      <c r="C50" s="173"/>
      <c r="D50" s="173"/>
      <c r="E50" s="173"/>
      <c r="F50" s="173"/>
      <c r="G50" s="173"/>
      <c r="H50" s="172"/>
      <c r="I50" s="173"/>
      <c r="J50" s="173"/>
      <c r="K50" s="173"/>
      <c r="L50" s="172"/>
      <c r="M50" s="173"/>
      <c r="N50" s="173"/>
      <c r="O50" s="173"/>
      <c r="P50" s="172"/>
      <c r="Q50" s="173"/>
      <c r="R50" s="173"/>
      <c r="S50" s="172"/>
      <c r="T50" s="173"/>
      <c r="U50" s="173"/>
      <c r="V50" s="172"/>
      <c r="W50" s="173"/>
      <c r="X50" s="172"/>
      <c r="Y50" s="173"/>
      <c r="Z50" s="172"/>
      <c r="AA50" s="173"/>
      <c r="AB50" s="173"/>
      <c r="AC50" s="173"/>
      <c r="AD50" s="172"/>
      <c r="AE50" s="173"/>
      <c r="AF50" s="173"/>
      <c r="AG50" s="172"/>
      <c r="AH50" s="173"/>
      <c r="AI50" s="173"/>
      <c r="AJ50" s="175"/>
      <c r="AK50" s="174"/>
      <c r="AL50" s="165"/>
      <c r="AM50" s="165"/>
      <c r="AN50" s="171"/>
    </row>
    <row r="51" spans="1:40" ht="18.75" customHeight="1" x14ac:dyDescent="0.25">
      <c r="A51" s="164">
        <f t="shared" si="0"/>
        <v>38</v>
      </c>
      <c r="B51" s="176" t="s">
        <v>1887</v>
      </c>
      <c r="C51" s="173"/>
      <c r="D51" s="173"/>
      <c r="E51" s="173"/>
      <c r="F51" s="173"/>
      <c r="G51" s="173"/>
      <c r="H51" s="172"/>
      <c r="I51" s="173"/>
      <c r="J51" s="173"/>
      <c r="K51" s="173"/>
      <c r="L51" s="172"/>
      <c r="M51" s="173"/>
      <c r="N51" s="173"/>
      <c r="O51" s="173"/>
      <c r="P51" s="172"/>
      <c r="Q51" s="173"/>
      <c r="R51" s="173"/>
      <c r="S51" s="172"/>
      <c r="T51" s="173"/>
      <c r="U51" s="173"/>
      <c r="V51" s="172"/>
      <c r="W51" s="173"/>
      <c r="X51" s="172"/>
      <c r="Y51" s="173"/>
      <c r="Z51" s="172"/>
      <c r="AA51" s="173"/>
      <c r="AB51" s="173"/>
      <c r="AC51" s="173"/>
      <c r="AD51" s="172"/>
      <c r="AE51" s="173"/>
      <c r="AF51" s="173"/>
      <c r="AG51" s="172"/>
      <c r="AH51" s="173"/>
      <c r="AI51" s="173"/>
      <c r="AJ51" s="175"/>
      <c r="AK51" s="174"/>
      <c r="AL51" s="165"/>
      <c r="AM51" s="165"/>
      <c r="AN51" s="171"/>
    </row>
    <row r="52" spans="1:40" ht="18.75" customHeight="1" x14ac:dyDescent="0.25">
      <c r="A52" s="164">
        <f t="shared" si="0"/>
        <v>39</v>
      </c>
      <c r="B52" s="176" t="s">
        <v>1888</v>
      </c>
      <c r="C52" s="173"/>
      <c r="D52" s="173"/>
      <c r="E52" s="173"/>
      <c r="F52" s="173"/>
      <c r="G52" s="173"/>
      <c r="H52" s="172"/>
      <c r="I52" s="173"/>
      <c r="J52" s="173"/>
      <c r="K52" s="173"/>
      <c r="L52" s="172"/>
      <c r="M52" s="173"/>
      <c r="N52" s="173"/>
      <c r="O52" s="173"/>
      <c r="P52" s="564"/>
      <c r="Q52" s="565"/>
      <c r="R52" s="567"/>
      <c r="S52" s="1193"/>
      <c r="T52" s="1194"/>
      <c r="U52" s="173"/>
      <c r="V52" s="1193"/>
      <c r="W52" s="1194"/>
      <c r="X52" s="1193"/>
      <c r="Y52" s="1194"/>
      <c r="Z52" s="172"/>
      <c r="AA52" s="173"/>
      <c r="AB52" s="173"/>
      <c r="AC52" s="173"/>
      <c r="AD52" s="172"/>
      <c r="AE52" s="173"/>
      <c r="AF52" s="173"/>
      <c r="AG52" s="172"/>
      <c r="AH52" s="173"/>
      <c r="AI52" s="173"/>
      <c r="AJ52" s="175"/>
      <c r="AK52" s="174"/>
      <c r="AL52" s="165"/>
      <c r="AM52" s="165"/>
      <c r="AN52" s="171"/>
    </row>
    <row r="53" spans="1:40" ht="27.75" customHeight="1" x14ac:dyDescent="0.25">
      <c r="A53" s="164">
        <f t="shared" si="0"/>
        <v>40</v>
      </c>
      <c r="B53" s="3508" t="s">
        <v>1889</v>
      </c>
      <c r="C53" s="3509"/>
      <c r="D53" s="3509"/>
      <c r="E53" s="3509"/>
      <c r="F53" s="3509"/>
      <c r="G53" s="3510"/>
      <c r="H53" s="172"/>
      <c r="I53" s="173"/>
      <c r="J53" s="173"/>
      <c r="K53" s="173"/>
      <c r="L53" s="172"/>
      <c r="M53" s="173"/>
      <c r="N53" s="173"/>
      <c r="O53" s="173"/>
      <c r="P53" s="172"/>
      <c r="Q53" s="173"/>
      <c r="R53" s="173"/>
      <c r="S53" s="172"/>
      <c r="T53" s="173"/>
      <c r="U53" s="173"/>
      <c r="V53" s="172"/>
      <c r="W53" s="173"/>
      <c r="X53" s="172"/>
      <c r="Y53" s="173"/>
      <c r="Z53" s="172"/>
      <c r="AA53" s="173"/>
      <c r="AB53" s="173"/>
      <c r="AC53" s="173"/>
      <c r="AD53" s="172"/>
      <c r="AE53" s="173"/>
      <c r="AF53" s="173"/>
      <c r="AG53" s="172"/>
      <c r="AH53" s="173"/>
      <c r="AI53" s="173"/>
      <c r="AJ53" s="175"/>
      <c r="AK53" s="174"/>
      <c r="AL53" s="165"/>
      <c r="AM53" s="165"/>
      <c r="AN53" s="171"/>
    </row>
    <row r="54" spans="1:40" ht="16.5" customHeight="1" x14ac:dyDescent="0.25">
      <c r="A54" s="164">
        <f t="shared" si="0"/>
        <v>41</v>
      </c>
      <c r="B54" s="1346" t="s">
        <v>1890</v>
      </c>
      <c r="C54" s="2512"/>
      <c r="D54" s="2512"/>
      <c r="E54" s="2512"/>
      <c r="F54" s="2512"/>
      <c r="G54" s="2512"/>
      <c r="H54" s="172"/>
      <c r="I54" s="173"/>
      <c r="J54" s="173"/>
      <c r="K54" s="173"/>
      <c r="L54" s="172"/>
      <c r="M54" s="173"/>
      <c r="N54" s="173"/>
      <c r="O54" s="173"/>
      <c r="P54" s="172"/>
      <c r="Q54" s="173"/>
      <c r="R54" s="173"/>
      <c r="S54" s="172"/>
      <c r="T54" s="173"/>
      <c r="U54" s="173"/>
      <c r="V54" s="172"/>
      <c r="W54" s="173"/>
      <c r="X54" s="172"/>
      <c r="Y54" s="173"/>
      <c r="Z54" s="172"/>
      <c r="AA54" s="173"/>
      <c r="AB54" s="173"/>
      <c r="AC54" s="173"/>
      <c r="AD54" s="172"/>
      <c r="AE54" s="173"/>
      <c r="AF54" s="173"/>
      <c r="AG54" s="172"/>
      <c r="AH54" s="173"/>
      <c r="AI54" s="173"/>
      <c r="AJ54" s="175"/>
      <c r="AK54" s="174"/>
      <c r="AL54" s="165"/>
      <c r="AM54" s="165"/>
      <c r="AN54" s="171"/>
    </row>
    <row r="55" spans="1:40" ht="18.75" customHeight="1" x14ac:dyDescent="0.25">
      <c r="A55" s="164">
        <f t="shared" si="0"/>
        <v>42</v>
      </c>
      <c r="B55" s="176" t="s">
        <v>1891</v>
      </c>
      <c r="C55" s="173"/>
      <c r="D55" s="173"/>
      <c r="E55" s="173"/>
      <c r="F55" s="173"/>
      <c r="G55" s="173"/>
      <c r="H55" s="172"/>
      <c r="I55" s="173"/>
      <c r="J55" s="173"/>
      <c r="K55" s="173"/>
      <c r="L55" s="172"/>
      <c r="M55" s="173"/>
      <c r="N55" s="173"/>
      <c r="O55" s="173"/>
      <c r="P55" s="172"/>
      <c r="Q55" s="173"/>
      <c r="R55" s="173"/>
      <c r="S55" s="172"/>
      <c r="T55" s="173"/>
      <c r="U55" s="173"/>
      <c r="V55" s="172"/>
      <c r="W55" s="173"/>
      <c r="X55" s="172"/>
      <c r="Y55" s="173"/>
      <c r="Z55" s="172"/>
      <c r="AA55" s="173"/>
      <c r="AB55" s="173"/>
      <c r="AC55" s="173"/>
      <c r="AD55" s="172"/>
      <c r="AE55" s="173"/>
      <c r="AF55" s="173"/>
      <c r="AG55" s="172"/>
      <c r="AH55" s="173"/>
      <c r="AI55" s="173"/>
      <c r="AJ55" s="175"/>
      <c r="AK55" s="174"/>
      <c r="AL55" s="165"/>
      <c r="AM55" s="165"/>
      <c r="AN55" s="171"/>
    </row>
    <row r="56" spans="1:40" ht="18.75" customHeight="1" x14ac:dyDescent="0.25">
      <c r="A56" s="164">
        <f t="shared" si="0"/>
        <v>43</v>
      </c>
      <c r="B56" s="176" t="s">
        <v>1892</v>
      </c>
      <c r="C56" s="173"/>
      <c r="D56" s="173"/>
      <c r="E56" s="173"/>
      <c r="F56" s="173"/>
      <c r="G56" s="173"/>
      <c r="H56" s="172"/>
      <c r="I56" s="173"/>
      <c r="J56" s="173"/>
      <c r="K56" s="173"/>
      <c r="L56" s="172"/>
      <c r="M56" s="173"/>
      <c r="N56" s="173"/>
      <c r="O56" s="173"/>
      <c r="P56" s="172"/>
      <c r="Q56" s="173"/>
      <c r="R56" s="173"/>
      <c r="S56" s="172"/>
      <c r="T56" s="173"/>
      <c r="U56" s="173"/>
      <c r="V56" s="172"/>
      <c r="W56" s="173"/>
      <c r="X56" s="172"/>
      <c r="Y56" s="173"/>
      <c r="Z56" s="172"/>
      <c r="AA56" s="173"/>
      <c r="AB56" s="173"/>
      <c r="AC56" s="173"/>
      <c r="AD56" s="172"/>
      <c r="AE56" s="173"/>
      <c r="AF56" s="173"/>
      <c r="AG56" s="172"/>
      <c r="AH56" s="173"/>
      <c r="AI56" s="173"/>
      <c r="AJ56" s="175"/>
      <c r="AK56" s="174"/>
      <c r="AL56" s="165"/>
      <c r="AM56" s="165"/>
      <c r="AN56" s="171"/>
    </row>
    <row r="57" spans="1:40" ht="18.75" customHeight="1" x14ac:dyDescent="0.25">
      <c r="A57" s="164">
        <f t="shared" si="0"/>
        <v>44</v>
      </c>
      <c r="B57" s="176" t="s">
        <v>1893</v>
      </c>
      <c r="C57" s="173"/>
      <c r="D57" s="173"/>
      <c r="E57" s="173"/>
      <c r="F57" s="173"/>
      <c r="G57" s="173"/>
      <c r="H57" s="172"/>
      <c r="I57" s="173"/>
      <c r="J57" s="173"/>
      <c r="K57" s="173"/>
      <c r="L57" s="172"/>
      <c r="M57" s="173"/>
      <c r="N57" s="173"/>
      <c r="O57" s="173"/>
      <c r="P57" s="172"/>
      <c r="Q57" s="173"/>
      <c r="R57" s="173"/>
      <c r="S57" s="172"/>
      <c r="T57" s="173"/>
      <c r="U57" s="173"/>
      <c r="V57" s="172"/>
      <c r="W57" s="173"/>
      <c r="X57" s="172"/>
      <c r="Y57" s="173"/>
      <c r="Z57" s="172"/>
      <c r="AA57" s="173"/>
      <c r="AB57" s="173"/>
      <c r="AC57" s="173"/>
      <c r="AD57" s="172"/>
      <c r="AE57" s="173"/>
      <c r="AF57" s="173"/>
      <c r="AG57" s="172"/>
      <c r="AH57" s="173"/>
      <c r="AI57" s="173"/>
      <c r="AJ57" s="175"/>
      <c r="AK57" s="174"/>
      <c r="AL57" s="165"/>
      <c r="AM57" s="165"/>
      <c r="AN57" s="171"/>
    </row>
    <row r="58" spans="1:40" ht="18.75" customHeight="1" x14ac:dyDescent="0.25">
      <c r="A58" s="164">
        <f t="shared" si="0"/>
        <v>45</v>
      </c>
      <c r="B58" s="176" t="s">
        <v>1894</v>
      </c>
      <c r="C58" s="173"/>
      <c r="D58" s="173"/>
      <c r="E58" s="173"/>
      <c r="F58" s="173"/>
      <c r="G58" s="173"/>
      <c r="H58" s="172" t="s">
        <v>1536</v>
      </c>
      <c r="I58" s="173"/>
      <c r="J58" s="173"/>
      <c r="K58" s="173"/>
      <c r="L58" s="172"/>
      <c r="M58" s="173"/>
      <c r="N58" s="173"/>
      <c r="O58" s="173"/>
      <c r="P58" s="172"/>
      <c r="Q58" s="173"/>
      <c r="R58" s="173"/>
      <c r="S58" s="172"/>
      <c r="T58" s="173"/>
      <c r="U58" s="173"/>
      <c r="V58" s="172"/>
      <c r="W58" s="173"/>
      <c r="X58" s="172"/>
      <c r="Y58" s="173"/>
      <c r="Z58" s="172"/>
      <c r="AA58" s="173"/>
      <c r="AB58" s="173"/>
      <c r="AC58" s="173"/>
      <c r="AD58" s="172"/>
      <c r="AE58" s="173"/>
      <c r="AF58" s="173"/>
      <c r="AG58" s="172"/>
      <c r="AH58" s="173"/>
      <c r="AI58" s="173"/>
      <c r="AJ58" s="175"/>
      <c r="AK58" s="174"/>
      <c r="AL58" s="165"/>
      <c r="AM58" s="165"/>
      <c r="AN58" s="171"/>
    </row>
  </sheetData>
  <mergeCells count="31">
    <mergeCell ref="AK5:AN12"/>
    <mergeCell ref="H13:K13"/>
    <mergeCell ref="Z5:AC12"/>
    <mergeCell ref="V12:W12"/>
    <mergeCell ref="AK13:AN13"/>
    <mergeCell ref="Z13:AC13"/>
    <mergeCell ref="P13:R13"/>
    <mergeCell ref="S13:U13"/>
    <mergeCell ref="AD13:AF13"/>
    <mergeCell ref="S4:Y4"/>
    <mergeCell ref="S12:T12"/>
    <mergeCell ref="B13:G13"/>
    <mergeCell ref="B27:G27"/>
    <mergeCell ref="J2:T2"/>
    <mergeCell ref="L4:M4"/>
    <mergeCell ref="B53:G53"/>
    <mergeCell ref="L13:O13"/>
    <mergeCell ref="B40:G40"/>
    <mergeCell ref="S5:Y10"/>
    <mergeCell ref="V13:W13"/>
    <mergeCell ref="X12:Y12"/>
    <mergeCell ref="X13:Y13"/>
    <mergeCell ref="P5:R9"/>
    <mergeCell ref="B24:G24"/>
    <mergeCell ref="B39:G39"/>
    <mergeCell ref="A5:A13"/>
    <mergeCell ref="H5:K12"/>
    <mergeCell ref="L5:O12"/>
    <mergeCell ref="AD5:AF12"/>
    <mergeCell ref="AG5:AJ12"/>
    <mergeCell ref="AG13:AJ13"/>
  </mergeCells>
  <pageMargins left="0.314" right="0.314" top="0.11799999999999999" bottom="0.27500000000000002" header="0.157" footer="0.11799999999999999"/>
  <pageSetup scale="76" firstPageNumber="34" orientation="landscape" r:id="rId1"/>
  <headerFooter>
    <oddFooter>&amp;C&amp;P</oddFooter>
  </headerFooter>
  <rowBreaks count="1" manualBreakCount="1">
    <brk id="35" max="39"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46"/>
  <sheetViews>
    <sheetView topLeftCell="A15" zoomScale="130" zoomScaleNormal="100" zoomScaleSheetLayoutView="130" workbookViewId="0">
      <selection activeCell="A15" sqref="A15:A36"/>
    </sheetView>
  </sheetViews>
  <sheetFormatPr defaultColWidth="8.81640625" defaultRowHeight="15.5" x14ac:dyDescent="0.35"/>
  <cols>
    <col min="1" max="1" width="5.81640625" style="442" customWidth="1"/>
    <col min="2" max="3" width="7.453125" style="180" customWidth="1"/>
    <col min="4" max="4" width="9.1796875" style="955" customWidth="1"/>
    <col min="5" max="5" width="8.453125" style="443" customWidth="1"/>
    <col min="6" max="6" width="6.453125" style="180" customWidth="1"/>
    <col min="7" max="7" width="10.453125" style="442" customWidth="1"/>
    <col min="8" max="8" width="13.1796875" style="442" customWidth="1"/>
    <col min="9" max="9" width="11.1796875" style="445" customWidth="1"/>
    <col min="10" max="10" width="12.453125" style="445" customWidth="1"/>
    <col min="11" max="11" width="15.7265625" style="445" customWidth="1"/>
    <col min="12" max="12" width="14.1796875" style="445" customWidth="1"/>
    <col min="13" max="13" width="22.453125" style="445" customWidth="1"/>
    <col min="14" max="14" width="14.1796875" style="445" customWidth="1"/>
    <col min="15" max="15" width="7.453125" customWidth="1"/>
  </cols>
  <sheetData>
    <row r="1" spans="1:15" x14ac:dyDescent="0.25">
      <c r="A1" s="398" t="s">
        <v>1991</v>
      </c>
      <c r="B1" s="178"/>
      <c r="C1" s="178"/>
      <c r="D1" s="953"/>
      <c r="E1" s="399"/>
      <c r="F1" s="178"/>
      <c r="G1" s="401"/>
      <c r="H1" s="401"/>
      <c r="I1" s="405"/>
      <c r="J1" s="400"/>
      <c r="K1" s="400"/>
      <c r="L1" s="400"/>
      <c r="M1" s="400"/>
      <c r="N1" s="400"/>
    </row>
    <row r="2" spans="1:15" x14ac:dyDescent="0.25">
      <c r="A2" s="398" t="s">
        <v>1992</v>
      </c>
      <c r="B2" s="179"/>
      <c r="C2" s="179"/>
      <c r="D2" s="954"/>
      <c r="E2" s="328"/>
      <c r="F2" s="179"/>
      <c r="G2" s="402"/>
      <c r="H2" s="402"/>
      <c r="I2" s="405"/>
      <c r="J2" s="400"/>
      <c r="K2" s="400"/>
      <c r="L2" s="400"/>
      <c r="M2" s="400"/>
      <c r="N2" s="400"/>
    </row>
    <row r="3" spans="1:15" x14ac:dyDescent="0.25">
      <c r="A3" s="398"/>
      <c r="B3" s="179"/>
      <c r="C3" s="179"/>
      <c r="D3" s="954"/>
      <c r="E3" s="328"/>
      <c r="F3" s="179"/>
      <c r="G3" s="402"/>
      <c r="H3" s="402"/>
      <c r="I3" s="405"/>
      <c r="J3" s="400"/>
      <c r="K3" s="400"/>
      <c r="L3" s="400"/>
      <c r="M3" s="400"/>
      <c r="N3" s="400"/>
    </row>
    <row r="4" spans="1:15" ht="23.25" customHeight="1" x14ac:dyDescent="0.25">
      <c r="A4" s="2216">
        <v>13.01</v>
      </c>
      <c r="B4" s="3538" t="s">
        <v>1993</v>
      </c>
      <c r="C4" s="3538"/>
      <c r="D4" s="3538"/>
      <c r="E4" s="3538"/>
      <c r="F4" s="3538"/>
      <c r="G4" s="3538"/>
      <c r="H4" s="3538"/>
      <c r="I4" s="3538"/>
      <c r="J4" s="3538"/>
      <c r="K4" s="3538"/>
      <c r="L4" s="3538"/>
      <c r="M4" s="3538"/>
      <c r="N4" s="1696" t="str">
        <f>CONCATENATE("1=Oui 
2=Non ►(",TEXT(A6,"0.00"),")")</f>
        <v>1=Oui 
2=Non ►(13.03)</v>
      </c>
      <c r="O4" s="140"/>
    </row>
    <row r="5" spans="1:15" ht="24" customHeight="1" x14ac:dyDescent="0.25">
      <c r="A5" s="2216">
        <f>A4+0.01</f>
        <v>13.02</v>
      </c>
      <c r="B5" s="2213" t="s">
        <v>1994</v>
      </c>
      <c r="C5" s="2214"/>
      <c r="D5" s="2214"/>
      <c r="E5" s="2214"/>
      <c r="F5" s="2214"/>
      <c r="G5" s="2214"/>
      <c r="H5" s="2214"/>
      <c r="I5" s="2214"/>
      <c r="J5" s="2214"/>
      <c r="K5" s="2214"/>
      <c r="L5" s="2215"/>
      <c r="M5" s="2215"/>
      <c r="N5" s="1696" t="str">
        <f>CONCATENATE("1=Oui 
2=Non")</f>
        <v>1=Oui 
2=Non</v>
      </c>
      <c r="O5" s="140"/>
    </row>
    <row r="6" spans="1:15" ht="27" customHeight="1" x14ac:dyDescent="0.25">
      <c r="A6" s="2216">
        <f t="shared" ref="A6:A11" si="0">A5+0.01</f>
        <v>13.03</v>
      </c>
      <c r="B6" s="3538" t="s">
        <v>1995</v>
      </c>
      <c r="C6" s="3538"/>
      <c r="D6" s="3538"/>
      <c r="E6" s="3538"/>
      <c r="F6" s="3538"/>
      <c r="G6" s="3538"/>
      <c r="H6" s="3538"/>
      <c r="I6" s="3538"/>
      <c r="J6" s="3538"/>
      <c r="K6" s="3538"/>
      <c r="L6" s="3538"/>
      <c r="M6" s="3538"/>
      <c r="N6" s="1696" t="str">
        <f>CONCATENATE("1=Oui 
2=Non ►(",TEXT(A8,"0.00"),")")</f>
        <v>1=Oui 
2=Non ►(13.05)</v>
      </c>
      <c r="O6" s="140"/>
    </row>
    <row r="7" spans="1:15" ht="26.25" customHeight="1" x14ac:dyDescent="0.25">
      <c r="A7" s="2216">
        <f t="shared" si="0"/>
        <v>13.04</v>
      </c>
      <c r="B7" s="2213" t="s">
        <v>1996</v>
      </c>
      <c r="C7" s="2214"/>
      <c r="D7" s="2214"/>
      <c r="E7" s="2214"/>
      <c r="F7" s="2214"/>
      <c r="G7" s="2214"/>
      <c r="H7" s="2214"/>
      <c r="I7" s="2214"/>
      <c r="J7" s="2214"/>
      <c r="K7" s="2214"/>
      <c r="L7" s="2215"/>
      <c r="M7" s="2215"/>
      <c r="N7" s="1696" t="str">
        <f>CONCATENATE("1=Oui 
2=Non")</f>
        <v>1=Oui 
2=Non</v>
      </c>
      <c r="O7" s="140"/>
    </row>
    <row r="8" spans="1:15" ht="23" x14ac:dyDescent="0.25">
      <c r="A8" s="1786">
        <f t="shared" si="0"/>
        <v>13.049999999999999</v>
      </c>
      <c r="B8" s="3539" t="s">
        <v>1997</v>
      </c>
      <c r="C8" s="3539"/>
      <c r="D8" s="3539"/>
      <c r="E8" s="3539"/>
      <c r="F8" s="3539"/>
      <c r="G8" s="3539"/>
      <c r="H8" s="3539"/>
      <c r="I8" s="3539"/>
      <c r="J8" s="3539"/>
      <c r="K8" s="3539"/>
      <c r="L8" s="3539"/>
      <c r="M8" s="3539"/>
      <c r="N8" s="1696" t="str">
        <f>CONCATENATE("1=Oui
2=Non")</f>
        <v>1=Oui
2=Non</v>
      </c>
      <c r="O8" s="140"/>
    </row>
    <row r="9" spans="1:15" ht="28" customHeight="1" x14ac:dyDescent="0.25">
      <c r="A9" s="1786">
        <f t="shared" si="0"/>
        <v>13.059999999999999</v>
      </c>
      <c r="B9" s="3539" t="s">
        <v>1998</v>
      </c>
      <c r="C9" s="3539"/>
      <c r="D9" s="3539"/>
      <c r="E9" s="3539"/>
      <c r="F9" s="3539"/>
      <c r="G9" s="3539"/>
      <c r="H9" s="3539"/>
      <c r="I9" s="3539"/>
      <c r="J9" s="3539"/>
      <c r="K9" s="3539"/>
      <c r="L9" s="3539"/>
      <c r="M9" s="3539"/>
      <c r="N9" s="1696" t="str">
        <f>CONCATENATE("1=Oui 
2=Non")</f>
        <v>1=Oui 
2=Non</v>
      </c>
      <c r="O9" s="140"/>
    </row>
    <row r="10" spans="1:15" ht="23" x14ac:dyDescent="0.25">
      <c r="A10" s="1786">
        <f t="shared" si="0"/>
        <v>13.069999999999999</v>
      </c>
      <c r="B10" s="1698" t="s">
        <v>1999</v>
      </c>
      <c r="C10" s="1787"/>
      <c r="D10" s="1787"/>
      <c r="E10" s="1787"/>
      <c r="F10" s="1787"/>
      <c r="G10" s="1787"/>
      <c r="H10" s="1787"/>
      <c r="I10" s="1787"/>
      <c r="J10" s="1787"/>
      <c r="K10" s="1787"/>
      <c r="L10" s="1788"/>
      <c r="M10" s="1788"/>
      <c r="N10" s="1696" t="str">
        <f>CONCATENATE("1=Oui 
2=Non")</f>
        <v>1=Oui 
2=Non</v>
      </c>
      <c r="O10" s="140"/>
    </row>
    <row r="11" spans="1:15" ht="23" x14ac:dyDescent="0.25">
      <c r="A11" s="1786">
        <f t="shared" si="0"/>
        <v>13.079999999999998</v>
      </c>
      <c r="B11" s="3539" t="s">
        <v>1997</v>
      </c>
      <c r="C11" s="3539"/>
      <c r="D11" s="3539"/>
      <c r="E11" s="3539"/>
      <c r="F11" s="3539"/>
      <c r="G11" s="3539"/>
      <c r="H11" s="3539"/>
      <c r="I11" s="3539"/>
      <c r="J11" s="3539"/>
      <c r="K11" s="3539"/>
      <c r="L11" s="3539"/>
      <c r="M11" s="3539"/>
      <c r="N11" s="1696" t="str">
        <f>CONCATENATE("1=Oui
2=Non")</f>
        <v>1=Oui
2=Non</v>
      </c>
      <c r="O11" s="140"/>
    </row>
    <row r="12" spans="1:15" ht="13.5" customHeight="1" x14ac:dyDescent="0.25">
      <c r="A12" s="1357"/>
      <c r="B12" s="1356"/>
      <c r="C12" s="1356"/>
      <c r="D12" s="1356"/>
      <c r="E12" s="1356"/>
      <c r="F12" s="1356"/>
      <c r="I12" s="3539" t="str">
        <f>CONCATENATE("1 Oui
2 Non ►",S14A_Chocs!A1, )</f>
        <v>1 Oui
2 Non ►SECTION 14A: COVID-19 ET IMPACT SUR LES MENAGES</v>
      </c>
      <c r="J12" s="3539"/>
      <c r="K12" s="3539"/>
      <c r="L12" s="3539"/>
      <c r="M12" s="1356"/>
      <c r="N12" s="2427"/>
    </row>
    <row r="13" spans="1:15" ht="12.75" customHeight="1" x14ac:dyDescent="0.25">
      <c r="A13" s="1697">
        <f>A11+0.01</f>
        <v>13.089999999999998</v>
      </c>
      <c r="B13" s="1698" t="str">
        <f>CONCATENATE("Est ce que la réponse à une des questions  (",A5,"), (",A7,"), (",A8,"), (",A9,"), (",A10,"), (",A11,") est positive ?")</f>
        <v>Est ce que la réponse à une des questions  (13.02), (13.04), (13.05), (13.06), (13.07), (13.08) est positive ?</v>
      </c>
      <c r="C13" s="1356"/>
      <c r="D13" s="1356"/>
      <c r="E13" s="1356"/>
      <c r="F13" s="1356"/>
      <c r="G13" s="1356"/>
      <c r="H13" s="1785"/>
      <c r="I13" s="3539"/>
      <c r="J13" s="3539"/>
      <c r="K13" s="3539"/>
      <c r="L13" s="3539"/>
      <c r="M13" s="1356"/>
      <c r="N13" s="2427"/>
    </row>
    <row r="14" spans="1:15" ht="12.75" customHeight="1" x14ac:dyDescent="0.35">
      <c r="B14" s="2400"/>
      <c r="C14" s="2400"/>
      <c r="D14" s="2400"/>
      <c r="E14" s="2400"/>
      <c r="F14" s="2400"/>
      <c r="G14" s="2389"/>
      <c r="H14" s="1787"/>
      <c r="I14" s="3540"/>
      <c r="J14" s="3541"/>
      <c r="K14" s="3541"/>
      <c r="L14" s="3541"/>
    </row>
    <row r="15" spans="1:15" ht="12.75" customHeight="1" x14ac:dyDescent="0.25">
      <c r="A15" s="2766" t="s">
        <v>2000</v>
      </c>
      <c r="B15" s="2411">
        <f>A13+0.01</f>
        <v>13.099999999999998</v>
      </c>
      <c r="C15" s="2411">
        <f>B15+0.01</f>
        <v>13.109999999999998</v>
      </c>
      <c r="D15" s="2411">
        <f t="shared" ref="D15:M15" si="1">C15+0.01</f>
        <v>13.119999999999997</v>
      </c>
      <c r="E15" s="2411">
        <f t="shared" si="1"/>
        <v>13.129999999999997</v>
      </c>
      <c r="F15" s="2375">
        <f t="shared" si="1"/>
        <v>13.139999999999997</v>
      </c>
      <c r="G15" s="1974">
        <f t="shared" si="1"/>
        <v>13.149999999999997</v>
      </c>
      <c r="H15" s="2231">
        <f t="shared" si="1"/>
        <v>13.159999999999997</v>
      </c>
      <c r="I15" s="2375">
        <f t="shared" si="1"/>
        <v>13.169999999999996</v>
      </c>
      <c r="J15" s="2391">
        <f t="shared" si="1"/>
        <v>13.179999999999996</v>
      </c>
      <c r="K15" s="1962">
        <f t="shared" si="1"/>
        <v>13.189999999999996</v>
      </c>
      <c r="L15" s="2392">
        <f t="shared" si="1"/>
        <v>13.199999999999996</v>
      </c>
      <c r="M15" s="1962">
        <f t="shared" si="1"/>
        <v>13.209999999999996</v>
      </c>
      <c r="N15" s="3533">
        <f>M15+0.01</f>
        <v>13.219999999999995</v>
      </c>
      <c r="O15" s="3534"/>
    </row>
    <row r="16" spans="1:15" ht="12.75" customHeight="1" x14ac:dyDescent="0.25">
      <c r="A16" s="2767"/>
      <c r="B16" s="2783" t="s">
        <v>2001</v>
      </c>
      <c r="C16" s="2783" t="s">
        <v>2002</v>
      </c>
      <c r="D16" s="2783" t="s">
        <v>2003</v>
      </c>
      <c r="E16" s="2783" t="s">
        <v>2004</v>
      </c>
      <c r="F16" s="2784" t="s">
        <v>2005</v>
      </c>
      <c r="G16" s="3531" t="s">
        <v>2006</v>
      </c>
      <c r="H16" s="3536" t="s">
        <v>2007</v>
      </c>
      <c r="I16" s="3092" t="s">
        <v>2008</v>
      </c>
      <c r="J16" s="3093" t="s">
        <v>2009</v>
      </c>
      <c r="K16" s="3101" t="s">
        <v>2010</v>
      </c>
      <c r="L16" s="3092" t="s">
        <v>2011</v>
      </c>
      <c r="M16" s="3101" t="s">
        <v>2012</v>
      </c>
      <c r="N16" s="3092" t="s">
        <v>2013</v>
      </c>
      <c r="O16" s="3536"/>
    </row>
    <row r="17" spans="1:15" ht="12.5" x14ac:dyDescent="0.25">
      <c r="A17" s="2767"/>
      <c r="B17" s="2783"/>
      <c r="C17" s="2783"/>
      <c r="D17" s="2783"/>
      <c r="E17" s="2783"/>
      <c r="F17" s="2784"/>
      <c r="G17" s="3531"/>
      <c r="H17" s="3536"/>
      <c r="I17" s="3092"/>
      <c r="J17" s="3093"/>
      <c r="K17" s="3101"/>
      <c r="L17" s="3092"/>
      <c r="M17" s="3101"/>
      <c r="N17" s="3092"/>
      <c r="O17" s="3536"/>
    </row>
    <row r="18" spans="1:15" ht="12.5" x14ac:dyDescent="0.25">
      <c r="A18" s="2767"/>
      <c r="B18" s="2783"/>
      <c r="C18" s="2783"/>
      <c r="D18" s="2783"/>
      <c r="E18" s="2783"/>
      <c r="F18" s="2784"/>
      <c r="G18" s="3531"/>
      <c r="H18" s="3536"/>
      <c r="I18" s="3092"/>
      <c r="J18" s="3093"/>
      <c r="K18" s="3101"/>
      <c r="L18" s="3092"/>
      <c r="M18" s="3101"/>
      <c r="N18" s="3092"/>
      <c r="O18" s="3536"/>
    </row>
    <row r="19" spans="1:15" ht="15" customHeight="1" x14ac:dyDescent="0.25">
      <c r="A19" s="2767"/>
      <c r="B19" s="2783"/>
      <c r="C19" s="2783"/>
      <c r="D19" s="2783"/>
      <c r="E19" s="2783"/>
      <c r="F19" s="2784"/>
      <c r="G19" s="3531"/>
      <c r="H19" s="3536"/>
      <c r="I19" s="3092"/>
      <c r="J19" s="3093"/>
      <c r="K19" s="3160" t="s">
        <v>2014</v>
      </c>
      <c r="L19" s="3092"/>
      <c r="M19" s="3101"/>
      <c r="N19" s="3092"/>
      <c r="O19" s="3536"/>
    </row>
    <row r="20" spans="1:15" ht="20.25" customHeight="1" x14ac:dyDescent="0.25">
      <c r="A20" s="2767"/>
      <c r="B20" s="2783"/>
      <c r="C20" s="2783"/>
      <c r="D20" s="2783"/>
      <c r="E20" s="2783"/>
      <c r="F20" s="2784"/>
      <c r="G20" s="3531"/>
      <c r="H20" s="3536"/>
      <c r="I20" s="3092"/>
      <c r="J20" s="3093"/>
      <c r="K20" s="3160"/>
      <c r="L20" s="2241" t="s">
        <v>2015</v>
      </c>
      <c r="M20" s="3101"/>
      <c r="N20" s="3092"/>
      <c r="O20" s="3536"/>
    </row>
    <row r="21" spans="1:15" ht="15.75" customHeight="1" x14ac:dyDescent="0.25">
      <c r="A21" s="2767"/>
      <c r="B21" s="2783"/>
      <c r="C21" s="2783"/>
      <c r="D21" s="2783"/>
      <c r="E21" s="2783"/>
      <c r="F21" s="2426"/>
      <c r="G21" s="2233"/>
      <c r="H21" s="3536" t="s">
        <v>2016</v>
      </c>
      <c r="I21" s="2226"/>
      <c r="J21" s="3093"/>
      <c r="K21" s="3160"/>
      <c r="L21" s="2389" t="s">
        <v>2017</v>
      </c>
      <c r="M21" s="2460"/>
      <c r="N21" s="3092"/>
      <c r="O21" s="3536"/>
    </row>
    <row r="22" spans="1:15" ht="14.25" customHeight="1" x14ac:dyDescent="0.25">
      <c r="A22" s="2767"/>
      <c r="B22" s="2783"/>
      <c r="C22" s="2783"/>
      <c r="D22" s="2783"/>
      <c r="E22" s="2783"/>
      <c r="F22" s="3532" t="s">
        <v>2018</v>
      </c>
      <c r="G22" s="2234" t="s">
        <v>2019</v>
      </c>
      <c r="H22" s="3536"/>
      <c r="I22" s="16"/>
      <c r="J22" s="3093"/>
      <c r="K22" s="3160"/>
      <c r="L22" s="2241" t="s">
        <v>2020</v>
      </c>
      <c r="M22" s="3160" t="s">
        <v>2021</v>
      </c>
      <c r="N22" s="3092"/>
      <c r="O22" s="3536"/>
    </row>
    <row r="23" spans="1:15" ht="15.75" customHeight="1" x14ac:dyDescent="0.35">
      <c r="A23" s="2767"/>
      <c r="B23" s="2783"/>
      <c r="C23" s="2783"/>
      <c r="D23" s="2783"/>
      <c r="E23" s="2783"/>
      <c r="F23" s="3532"/>
      <c r="G23" s="2234" t="s">
        <v>2022</v>
      </c>
      <c r="H23" s="3536"/>
      <c r="I23" s="16"/>
      <c r="J23" s="3093"/>
      <c r="K23" s="3160"/>
      <c r="L23" s="2887" t="s">
        <v>2023</v>
      </c>
      <c r="M23" s="3160"/>
      <c r="O23" s="2228"/>
    </row>
    <row r="24" spans="1:15" ht="18" customHeight="1" x14ac:dyDescent="0.25">
      <c r="A24" s="2767"/>
      <c r="B24" s="2783"/>
      <c r="C24" s="2783"/>
      <c r="D24" s="2453"/>
      <c r="E24" s="16"/>
      <c r="F24" s="3532"/>
      <c r="G24" s="2234" t="s">
        <v>2024</v>
      </c>
      <c r="H24" s="3536"/>
      <c r="I24" s="16"/>
      <c r="J24" s="3093"/>
      <c r="K24" s="3160"/>
      <c r="L24" s="2887"/>
      <c r="M24" s="3160"/>
      <c r="N24" s="2832" t="s">
        <v>2025</v>
      </c>
      <c r="O24" s="3535"/>
    </row>
    <row r="25" spans="1:15" ht="12.5" x14ac:dyDescent="0.25">
      <c r="A25" s="2767"/>
      <c r="B25" s="2783"/>
      <c r="C25" s="2783"/>
      <c r="D25" s="34" t="s">
        <v>2026</v>
      </c>
      <c r="E25" s="159" t="s">
        <v>2027</v>
      </c>
      <c r="F25" s="3532"/>
      <c r="G25" s="2235" t="s">
        <v>2028</v>
      </c>
      <c r="H25" s="3536"/>
      <c r="I25" s="158" t="s">
        <v>771</v>
      </c>
      <c r="J25" s="3093"/>
      <c r="K25" s="3160"/>
      <c r="L25" s="2887" t="s">
        <v>2029</v>
      </c>
      <c r="M25" s="3160"/>
      <c r="N25" s="2369" t="s">
        <v>2030</v>
      </c>
      <c r="O25" s="2228"/>
    </row>
    <row r="26" spans="1:15" ht="12.5" x14ac:dyDescent="0.25">
      <c r="A26" s="2767"/>
      <c r="B26" s="2783"/>
      <c r="C26" s="2783"/>
      <c r="D26" s="34" t="s">
        <v>2031</v>
      </c>
      <c r="E26" s="159" t="s">
        <v>2032</v>
      </c>
      <c r="F26" s="369"/>
      <c r="G26" s="2235" t="s">
        <v>2033</v>
      </c>
      <c r="H26" s="3536"/>
      <c r="I26" s="158" t="str">
        <f>CONCATENATE("2 Non ►(",TEXT(K15,"0.00"),")")</f>
        <v>2 Non ►(13.19)</v>
      </c>
      <c r="J26" s="2030"/>
      <c r="K26" s="3160"/>
      <c r="L26" s="2887"/>
      <c r="M26" s="3160"/>
      <c r="N26" s="2427" t="s">
        <v>2034</v>
      </c>
      <c r="O26" s="2228"/>
    </row>
    <row r="27" spans="1:15" ht="12.5" x14ac:dyDescent="0.25">
      <c r="A27" s="2767"/>
      <c r="B27" s="58"/>
      <c r="C27" s="58"/>
      <c r="D27" s="34" t="s">
        <v>2035</v>
      </c>
      <c r="E27" s="16"/>
      <c r="F27" s="2426"/>
      <c r="G27" s="2235" t="s">
        <v>2036</v>
      </c>
      <c r="H27" s="3536"/>
      <c r="I27" s="3542"/>
      <c r="J27" s="2446"/>
      <c r="K27" s="3160"/>
      <c r="L27" s="2887"/>
      <c r="M27" s="3160"/>
      <c r="N27" s="2241" t="s">
        <v>2037</v>
      </c>
      <c r="O27" s="2228"/>
    </row>
    <row r="28" spans="1:15" ht="12.5" x14ac:dyDescent="0.25">
      <c r="A28" s="2767"/>
      <c r="B28" s="58"/>
      <c r="C28" s="58"/>
      <c r="D28" s="34" t="s">
        <v>2038</v>
      </c>
      <c r="E28" s="16"/>
      <c r="F28" s="2426"/>
      <c r="G28" s="2235"/>
      <c r="H28" s="3536"/>
      <c r="I28" s="3542"/>
      <c r="J28" s="2446"/>
      <c r="K28" s="3160"/>
      <c r="L28" s="2241" t="s">
        <v>2039</v>
      </c>
      <c r="M28" s="3160"/>
      <c r="N28" s="2505" t="s">
        <v>2040</v>
      </c>
      <c r="O28" s="2228"/>
    </row>
    <row r="29" spans="1:15" ht="15.75" customHeight="1" x14ac:dyDescent="0.25">
      <c r="A29" s="2767"/>
      <c r="B29" s="2453"/>
      <c r="C29" s="2453"/>
      <c r="D29" s="34" t="s">
        <v>2041</v>
      </c>
      <c r="E29" s="16"/>
      <c r="F29" s="2426"/>
      <c r="G29" s="2234"/>
      <c r="H29" s="3536"/>
      <c r="I29" s="16"/>
      <c r="J29" s="2446"/>
      <c r="K29" s="3160"/>
      <c r="L29" s="69" t="s">
        <v>2042</v>
      </c>
      <c r="M29" s="3160"/>
      <c r="N29" s="2369" t="s">
        <v>2043</v>
      </c>
      <c r="O29" s="2228"/>
    </row>
    <row r="30" spans="1:15" ht="27" customHeight="1" x14ac:dyDescent="0.25">
      <c r="A30" s="2767"/>
      <c r="B30" s="2453"/>
      <c r="C30" s="2453"/>
      <c r="D30" s="1335" t="s">
        <v>2044</v>
      </c>
      <c r="E30" s="36"/>
      <c r="F30" s="369"/>
      <c r="G30" s="2236"/>
      <c r="H30" s="3536"/>
      <c r="I30" s="158"/>
      <c r="J30" s="2030"/>
      <c r="K30" s="3160"/>
      <c r="L30" s="2241" t="s">
        <v>2045</v>
      </c>
      <c r="M30" s="3160"/>
      <c r="N30" s="158"/>
      <c r="O30" s="2230"/>
    </row>
    <row r="31" spans="1:15" ht="21" customHeight="1" x14ac:dyDescent="0.25">
      <c r="A31" s="2767"/>
      <c r="B31" s="2453"/>
      <c r="C31" s="2453"/>
      <c r="D31" s="2453"/>
      <c r="E31" s="2428"/>
      <c r="F31" s="369"/>
      <c r="G31" s="2236"/>
      <c r="H31" s="3536"/>
      <c r="I31" s="16"/>
      <c r="J31" s="2240"/>
      <c r="K31" s="3160"/>
      <c r="L31" s="1787" t="s">
        <v>2046</v>
      </c>
      <c r="M31" s="3160"/>
      <c r="N31" s="1569"/>
      <c r="O31" s="2230"/>
    </row>
    <row r="32" spans="1:15" ht="21" customHeight="1" x14ac:dyDescent="0.25">
      <c r="A32" s="2767"/>
      <c r="B32" s="58"/>
      <c r="C32" s="58"/>
      <c r="D32" s="347"/>
      <c r="E32" s="58"/>
      <c r="F32" s="369"/>
      <c r="G32" s="2225"/>
      <c r="H32" s="3536"/>
      <c r="I32" s="411"/>
      <c r="J32" s="2031"/>
      <c r="K32" s="3160"/>
      <c r="L32" s="2389" t="s">
        <v>2047</v>
      </c>
      <c r="M32" s="2460"/>
      <c r="N32" s="1569"/>
      <c r="O32" s="2230"/>
    </row>
    <row r="33" spans="1:15" ht="21" customHeight="1" x14ac:dyDescent="0.25">
      <c r="A33" s="2767"/>
      <c r="B33" s="159"/>
      <c r="C33" s="159"/>
      <c r="D33" s="347"/>
      <c r="E33" s="58"/>
      <c r="F33" s="369"/>
      <c r="G33" s="2225"/>
      <c r="H33" s="2515"/>
      <c r="I33" s="411"/>
      <c r="J33" s="2031"/>
      <c r="K33" s="3160"/>
      <c r="L33" s="2389"/>
      <c r="M33" s="2460"/>
      <c r="N33" s="2243"/>
      <c r="O33" s="2229"/>
    </row>
    <row r="34" spans="1:15" ht="21" customHeight="1" x14ac:dyDescent="0.25">
      <c r="A34" s="2767"/>
      <c r="B34" s="159"/>
      <c r="C34" s="159"/>
      <c r="D34" s="347"/>
      <c r="E34" s="58"/>
      <c r="F34" s="369"/>
      <c r="G34" s="2225"/>
      <c r="H34" s="2515"/>
      <c r="I34" s="411"/>
      <c r="J34" s="2031"/>
      <c r="K34" s="3160"/>
      <c r="L34" s="2389"/>
      <c r="M34" s="2460"/>
      <c r="N34" s="3537" t="s">
        <v>947</v>
      </c>
      <c r="O34" s="3530" t="s">
        <v>816</v>
      </c>
    </row>
    <row r="35" spans="1:15" ht="21" customHeight="1" x14ac:dyDescent="0.25">
      <c r="A35" s="2767"/>
      <c r="B35" s="159"/>
      <c r="C35" s="159"/>
      <c r="D35" s="347"/>
      <c r="E35" s="58"/>
      <c r="F35" s="369"/>
      <c r="G35" s="2237"/>
      <c r="H35" s="2232"/>
      <c r="I35" s="411"/>
      <c r="J35" s="2032"/>
      <c r="K35" s="3543"/>
      <c r="L35" s="2242"/>
      <c r="M35" s="2516"/>
      <c r="N35" s="3537"/>
      <c r="O35" s="3530"/>
    </row>
    <row r="36" spans="1:15" ht="21" customHeight="1" x14ac:dyDescent="0.25">
      <c r="A36" s="2768"/>
      <c r="B36" s="466" t="s">
        <v>170</v>
      </c>
      <c r="C36" s="2345" t="s">
        <v>170</v>
      </c>
      <c r="D36" s="183" t="s">
        <v>346</v>
      </c>
      <c r="E36" s="265" t="s">
        <v>346</v>
      </c>
      <c r="F36" s="418" t="s">
        <v>350</v>
      </c>
      <c r="G36" s="2238" t="s">
        <v>346</v>
      </c>
      <c r="H36" s="2239" t="s">
        <v>346</v>
      </c>
      <c r="I36" s="467" t="s">
        <v>346</v>
      </c>
      <c r="J36" s="2014" t="s">
        <v>2048</v>
      </c>
      <c r="K36" s="2062" t="s">
        <v>346</v>
      </c>
      <c r="L36" s="2014" t="s">
        <v>346</v>
      </c>
      <c r="M36" s="2062" t="s">
        <v>346</v>
      </c>
      <c r="N36" s="2014" t="s">
        <v>353</v>
      </c>
      <c r="O36" s="2014" t="s">
        <v>346</v>
      </c>
    </row>
    <row r="37" spans="1:15" ht="21" customHeight="1" x14ac:dyDescent="0.35">
      <c r="A37" s="429" t="s">
        <v>680</v>
      </c>
      <c r="B37" s="470"/>
      <c r="C37" s="470"/>
      <c r="D37" s="950"/>
      <c r="E37" s="470"/>
      <c r="F37" s="470"/>
      <c r="G37" s="470"/>
      <c r="H37" s="470"/>
      <c r="I37" s="470"/>
      <c r="J37" s="471"/>
      <c r="K37" s="471"/>
      <c r="L37" s="471"/>
      <c r="M37" s="471"/>
      <c r="N37" s="471"/>
      <c r="O37" s="578"/>
    </row>
    <row r="38" spans="1:15" ht="21" customHeight="1" x14ac:dyDescent="0.35">
      <c r="A38" s="439" t="s">
        <v>681</v>
      </c>
      <c r="B38" s="475"/>
      <c r="C38" s="475"/>
      <c r="D38" s="951"/>
      <c r="E38" s="475"/>
      <c r="F38" s="475"/>
      <c r="G38" s="475"/>
      <c r="H38" s="475"/>
      <c r="I38" s="475"/>
      <c r="J38" s="476"/>
      <c r="K38" s="476"/>
      <c r="L38" s="476"/>
      <c r="M38" s="476"/>
      <c r="N38" s="476"/>
      <c r="O38" s="140"/>
    </row>
    <row r="39" spans="1:15" ht="21" customHeight="1" x14ac:dyDescent="0.35">
      <c r="A39" s="439">
        <v>3</v>
      </c>
      <c r="B39" s="475"/>
      <c r="C39" s="475"/>
      <c r="D39" s="951"/>
      <c r="E39" s="475"/>
      <c r="F39" s="475"/>
      <c r="G39" s="475"/>
      <c r="H39" s="475"/>
      <c r="I39" s="475"/>
      <c r="J39" s="476"/>
      <c r="K39" s="476"/>
      <c r="L39" s="476"/>
      <c r="M39" s="476"/>
      <c r="N39" s="476"/>
      <c r="O39" s="140"/>
    </row>
    <row r="40" spans="1:15" ht="21" customHeight="1" x14ac:dyDescent="0.35">
      <c r="A40" s="479">
        <v>4</v>
      </c>
      <c r="B40" s="481"/>
      <c r="C40" s="481"/>
      <c r="D40" s="952"/>
      <c r="E40" s="481"/>
      <c r="F40" s="481"/>
      <c r="G40" s="481"/>
      <c r="H40" s="481"/>
      <c r="I40" s="481"/>
      <c r="J40" s="478"/>
      <c r="K40" s="478"/>
      <c r="L40" s="478"/>
      <c r="M40" s="478"/>
      <c r="N40" s="478"/>
      <c r="O40" s="140"/>
    </row>
    <row r="41" spans="1:15" ht="21" customHeight="1" x14ac:dyDescent="0.35">
      <c r="A41" s="479">
        <v>5</v>
      </c>
      <c r="B41" s="470"/>
      <c r="C41" s="470"/>
      <c r="D41" s="950"/>
      <c r="E41" s="470"/>
      <c r="F41" s="470"/>
      <c r="G41" s="470"/>
      <c r="H41" s="470"/>
      <c r="I41" s="470"/>
      <c r="J41" s="471"/>
      <c r="K41" s="471"/>
      <c r="L41" s="471"/>
      <c r="M41" s="471"/>
      <c r="N41" s="471"/>
      <c r="O41" s="140"/>
    </row>
    <row r="42" spans="1:15" ht="21" customHeight="1" x14ac:dyDescent="0.35">
      <c r="A42" s="440">
        <v>6</v>
      </c>
      <c r="B42" s="475"/>
      <c r="C42" s="475"/>
      <c r="D42" s="951"/>
      <c r="E42" s="475"/>
      <c r="F42" s="475"/>
      <c r="G42" s="475"/>
      <c r="H42" s="475"/>
      <c r="I42" s="475"/>
      <c r="J42" s="476"/>
      <c r="K42" s="476"/>
      <c r="L42" s="476"/>
      <c r="M42" s="476"/>
      <c r="N42" s="476"/>
      <c r="O42" s="140"/>
    </row>
    <row r="43" spans="1:15" ht="21" customHeight="1" x14ac:dyDescent="0.35">
      <c r="A43" s="440">
        <v>7</v>
      </c>
      <c r="B43" s="475"/>
      <c r="C43" s="475"/>
      <c r="D43" s="951"/>
      <c r="E43" s="475"/>
      <c r="F43" s="475"/>
      <c r="G43" s="475"/>
      <c r="H43" s="475"/>
      <c r="I43" s="475"/>
      <c r="J43" s="476"/>
      <c r="K43" s="476"/>
      <c r="L43" s="476"/>
      <c r="M43" s="476"/>
      <c r="N43" s="476"/>
      <c r="O43" s="140"/>
    </row>
    <row r="44" spans="1:15" x14ac:dyDescent="0.35">
      <c r="A44" s="441">
        <v>8</v>
      </c>
      <c r="B44" s="475"/>
      <c r="C44" s="475"/>
      <c r="D44" s="951"/>
      <c r="E44" s="475"/>
      <c r="F44" s="475"/>
      <c r="G44" s="475"/>
      <c r="H44" s="475"/>
      <c r="I44" s="475"/>
      <c r="J44" s="476"/>
      <c r="K44" s="476"/>
      <c r="L44" s="476"/>
      <c r="M44" s="476"/>
      <c r="N44" s="476"/>
      <c r="O44" s="140"/>
    </row>
    <row r="45" spans="1:15" x14ac:dyDescent="0.35">
      <c r="A45" s="440">
        <v>9</v>
      </c>
      <c r="B45" s="481"/>
      <c r="C45" s="481"/>
      <c r="D45" s="952"/>
      <c r="E45" s="481"/>
      <c r="F45" s="481"/>
      <c r="G45" s="481"/>
      <c r="H45" s="481"/>
      <c r="I45" s="481"/>
      <c r="J45" s="478"/>
      <c r="K45" s="478"/>
      <c r="L45" s="478"/>
      <c r="M45" s="478"/>
      <c r="N45" s="478"/>
      <c r="O45" s="140"/>
    </row>
    <row r="46" spans="1:15" x14ac:dyDescent="0.35">
      <c r="A46" s="440">
        <v>10</v>
      </c>
      <c r="B46" s="481"/>
      <c r="C46" s="481"/>
      <c r="D46" s="952"/>
      <c r="E46" s="481"/>
      <c r="F46" s="481"/>
      <c r="G46" s="481"/>
      <c r="H46" s="481"/>
      <c r="I46" s="481"/>
      <c r="J46" s="478"/>
      <c r="K46" s="478"/>
      <c r="L46" s="478"/>
      <c r="M46" s="478"/>
      <c r="N46" s="478"/>
      <c r="O46" s="140"/>
    </row>
  </sheetData>
  <mergeCells count="31">
    <mergeCell ref="N34:N35"/>
    <mergeCell ref="L23:L24"/>
    <mergeCell ref="L25:L27"/>
    <mergeCell ref="B4:M4"/>
    <mergeCell ref="B8:M8"/>
    <mergeCell ref="B6:M6"/>
    <mergeCell ref="I12:L14"/>
    <mergeCell ref="I27:I28"/>
    <mergeCell ref="B9:M9"/>
    <mergeCell ref="B11:M11"/>
    <mergeCell ref="J16:J25"/>
    <mergeCell ref="H21:H32"/>
    <mergeCell ref="H16:H20"/>
    <mergeCell ref="K16:K18"/>
    <mergeCell ref="K19:K35"/>
    <mergeCell ref="O34:O35"/>
    <mergeCell ref="A15:A36"/>
    <mergeCell ref="B16:B26"/>
    <mergeCell ref="F16:F20"/>
    <mergeCell ref="G16:G20"/>
    <mergeCell ref="I16:I20"/>
    <mergeCell ref="C16:C26"/>
    <mergeCell ref="D16:D23"/>
    <mergeCell ref="E16:E23"/>
    <mergeCell ref="F22:F25"/>
    <mergeCell ref="N15:O15"/>
    <mergeCell ref="L16:L19"/>
    <mergeCell ref="M22:M31"/>
    <mergeCell ref="M16:M20"/>
    <mergeCell ref="N24:O24"/>
    <mergeCell ref="N16:O22"/>
  </mergeCells>
  <pageMargins left="0.314" right="0.314" top="0.11799999999999999" bottom="0.27500000000000002" header="0.157" footer="0.11799999999999999"/>
  <pageSetup scale="71" firstPageNumber="59" orientation="landscape"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5"/>
  <sheetViews>
    <sheetView zoomScale="120" zoomScaleNormal="130" zoomScaleSheetLayoutView="120" workbookViewId="0">
      <selection activeCell="E9" sqref="E9"/>
    </sheetView>
  </sheetViews>
  <sheetFormatPr defaultColWidth="8.81640625" defaultRowHeight="11.5" x14ac:dyDescent="0.25"/>
  <cols>
    <col min="1" max="1" width="3.7265625" style="1717" customWidth="1"/>
    <col min="2" max="2" width="34.453125" style="1717" customWidth="1"/>
    <col min="3" max="3" width="21.1796875" style="1717" customWidth="1"/>
    <col min="4" max="4" width="12.453125" style="1717" customWidth="1"/>
    <col min="5" max="5" width="11.453125" style="1717" customWidth="1"/>
    <col min="6" max="7" width="8.81640625" style="1717"/>
    <col min="8" max="8" width="13.7265625" style="1717" customWidth="1"/>
    <col min="9" max="9" width="22" style="1717" customWidth="1"/>
    <col min="10" max="10" width="12.453125" style="1717" customWidth="1"/>
    <col min="11" max="12" width="8.81640625" style="1717"/>
    <col min="13" max="16384" width="8.81640625" style="823"/>
  </cols>
  <sheetData>
    <row r="1" spans="1:12" x14ac:dyDescent="0.25">
      <c r="A1" s="1755" t="s">
        <v>1895</v>
      </c>
    </row>
    <row r="2" spans="1:12" x14ac:dyDescent="0.25">
      <c r="A2" s="1755"/>
    </row>
    <row r="3" spans="1:12" x14ac:dyDescent="0.25">
      <c r="A3" s="1762"/>
      <c r="B3" s="1771" t="s">
        <v>1896</v>
      </c>
      <c r="C3" s="1771" t="s">
        <v>1897</v>
      </c>
      <c r="D3" s="1771" t="s">
        <v>1898</v>
      </c>
      <c r="E3" s="1771" t="s">
        <v>1899</v>
      </c>
      <c r="F3" s="1771" t="s">
        <v>1900</v>
      </c>
      <c r="G3" s="1771" t="s">
        <v>1901</v>
      </c>
      <c r="H3" s="1771" t="s">
        <v>1902</v>
      </c>
      <c r="I3" s="1771" t="s">
        <v>1903</v>
      </c>
      <c r="J3" s="1772" t="s">
        <v>1904</v>
      </c>
    </row>
    <row r="4" spans="1:12" ht="141" customHeight="1" x14ac:dyDescent="0.25">
      <c r="A4" s="1763"/>
      <c r="B4" s="2217" t="s">
        <v>1905</v>
      </c>
      <c r="C4" s="1760" t="str">
        <f>CONCATENATE("Est-ce qu'au moins une personne ayant habité ce ménage a   […]?
1. Oui
2. Non ► Ligne suivante")</f>
        <v>Est-ce qu'au moins une personne ayant habité ce ménage a   […]?
1. Oui
2. Non ► Ligne suivante</v>
      </c>
      <c r="D4" s="1760" t="str">
        <f>CONCATENATE("La personne est-elle encore membre du ménage?
1. Oui
2. Non ►",F3,)</f>
        <v>La personne est-elle encore membre du ménage?
1. Oui
2. Non ►14A.05</v>
      </c>
      <c r="E4" s="1760" t="str">
        <f>CONCATENATE("Quel est son numéro d'ordre? 
►►",I3)</f>
        <v>Quel est son numéro d'ordre? 
►►14A.08</v>
      </c>
      <c r="F4" s="1760" t="s">
        <v>1906</v>
      </c>
      <c r="G4" s="1760" t="s">
        <v>1907</v>
      </c>
      <c r="H4" s="1760" t="s">
        <v>1908</v>
      </c>
      <c r="I4" s="1760" t="s">
        <v>1909</v>
      </c>
      <c r="J4" s="1760" t="s">
        <v>1910</v>
      </c>
      <c r="K4" s="1756"/>
      <c r="L4" s="1756"/>
    </row>
    <row r="5" spans="1:12" ht="14.5" customHeight="1" x14ac:dyDescent="0.25">
      <c r="A5" s="1764"/>
      <c r="B5" s="1761"/>
      <c r="C5" s="1759" t="s">
        <v>346</v>
      </c>
      <c r="D5" s="1759" t="s">
        <v>346</v>
      </c>
      <c r="E5" s="1759" t="s">
        <v>170</v>
      </c>
      <c r="F5" s="1759" t="s">
        <v>346</v>
      </c>
      <c r="G5" s="1759" t="s">
        <v>141</v>
      </c>
      <c r="H5" s="1759" t="s">
        <v>346</v>
      </c>
      <c r="I5" s="1759" t="s">
        <v>346</v>
      </c>
      <c r="J5" s="1759" t="s">
        <v>141</v>
      </c>
      <c r="K5" s="1756"/>
      <c r="L5" s="1756"/>
    </row>
    <row r="6" spans="1:12" ht="32" customHeight="1" x14ac:dyDescent="0.25">
      <c r="A6" s="1774">
        <v>1</v>
      </c>
      <c r="B6" s="1812" t="s">
        <v>1911</v>
      </c>
      <c r="C6" s="1813"/>
      <c r="D6" s="1813"/>
      <c r="E6" s="1762"/>
      <c r="F6" s="1762"/>
      <c r="G6" s="1762"/>
      <c r="H6" s="1762"/>
      <c r="I6" s="1762"/>
      <c r="J6" s="1762"/>
    </row>
    <row r="7" spans="1:12" ht="32" customHeight="1" x14ac:dyDescent="0.25">
      <c r="A7" s="1775">
        <v>2</v>
      </c>
      <c r="B7" s="1812" t="s">
        <v>1912</v>
      </c>
      <c r="C7" s="1762"/>
      <c r="D7" s="1762"/>
      <c r="E7" s="1762"/>
      <c r="F7" s="1762"/>
      <c r="G7" s="1762"/>
      <c r="H7" s="1762"/>
      <c r="I7" s="1762"/>
      <c r="J7" s="1762"/>
    </row>
    <row r="8" spans="1:12" ht="32" customHeight="1" x14ac:dyDescent="0.25">
      <c r="A8" s="1775">
        <f t="shared" ref="A8:A13" si="0">A7+1</f>
        <v>3</v>
      </c>
      <c r="B8" s="1812" t="s">
        <v>1913</v>
      </c>
      <c r="C8" s="1762"/>
      <c r="D8" s="1762"/>
      <c r="E8" s="1762"/>
      <c r="F8" s="1762"/>
      <c r="G8" s="1762"/>
      <c r="H8" s="1762"/>
      <c r="I8" s="1762"/>
      <c r="J8" s="1762"/>
    </row>
    <row r="9" spans="1:12" ht="32" customHeight="1" x14ac:dyDescent="0.25">
      <c r="A9" s="1775">
        <f t="shared" si="0"/>
        <v>4</v>
      </c>
      <c r="B9" s="1812" t="s">
        <v>1914</v>
      </c>
      <c r="C9" s="1762"/>
      <c r="D9" s="1762"/>
      <c r="E9" s="1762"/>
      <c r="F9" s="1762"/>
      <c r="G9" s="1762"/>
      <c r="H9" s="1762"/>
      <c r="I9" s="1762"/>
      <c r="J9" s="1762"/>
    </row>
    <row r="10" spans="1:12" ht="32" customHeight="1" x14ac:dyDescent="0.25">
      <c r="A10" s="1775">
        <f t="shared" si="0"/>
        <v>5</v>
      </c>
      <c r="B10" s="1814" t="s">
        <v>1915</v>
      </c>
      <c r="C10" s="1762"/>
      <c r="D10" s="1762"/>
      <c r="E10" s="1762"/>
      <c r="F10" s="1762"/>
      <c r="G10" s="1762"/>
      <c r="H10" s="1762"/>
      <c r="I10" s="1762"/>
      <c r="J10" s="1762"/>
    </row>
    <row r="11" spans="1:12" ht="32" customHeight="1" x14ac:dyDescent="0.25">
      <c r="A11" s="1775">
        <f t="shared" si="0"/>
        <v>6</v>
      </c>
      <c r="B11" s="1814" t="s">
        <v>1916</v>
      </c>
      <c r="C11" s="1762"/>
      <c r="D11" s="1762"/>
      <c r="E11" s="1762"/>
      <c r="F11" s="1762"/>
      <c r="G11" s="1762"/>
      <c r="H11" s="1762"/>
      <c r="I11" s="1762"/>
      <c r="J11" s="1762"/>
    </row>
    <row r="12" spans="1:12" ht="32" customHeight="1" x14ac:dyDescent="0.25">
      <c r="A12" s="1775">
        <f t="shared" si="0"/>
        <v>7</v>
      </c>
      <c r="B12" s="1814" t="s">
        <v>1917</v>
      </c>
      <c r="C12" s="1762"/>
      <c r="D12" s="1762"/>
      <c r="E12" s="1762"/>
      <c r="F12" s="1762"/>
      <c r="G12" s="1762"/>
      <c r="H12" s="1762"/>
      <c r="I12" s="1762"/>
      <c r="J12" s="1762"/>
    </row>
    <row r="13" spans="1:12" ht="32" customHeight="1" x14ac:dyDescent="0.25">
      <c r="A13" s="1775">
        <f t="shared" si="0"/>
        <v>8</v>
      </c>
      <c r="B13" s="1814" t="s">
        <v>1918</v>
      </c>
      <c r="C13" s="1762"/>
      <c r="D13" s="1762"/>
      <c r="E13" s="1762"/>
      <c r="F13" s="1762"/>
      <c r="G13" s="1762"/>
      <c r="H13" s="1762"/>
      <c r="I13" s="1762"/>
      <c r="J13" s="1762"/>
    </row>
    <row r="14" spans="1:12" x14ac:dyDescent="0.25">
      <c r="A14" s="1757"/>
      <c r="B14" s="1758"/>
    </row>
    <row r="15" spans="1:12" x14ac:dyDescent="0.25">
      <c r="A15" s="1757"/>
      <c r="B15" s="1758"/>
    </row>
  </sheetData>
  <pageMargins left="0.7" right="0.7" top="0.75" bottom="0.75" header="0.3" footer="0.3"/>
  <pageSetup scale="78"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44"/>
  <sheetViews>
    <sheetView zoomScale="140" zoomScaleNormal="100" zoomScaleSheetLayoutView="140" workbookViewId="0">
      <selection activeCell="H18" sqref="H18"/>
    </sheetView>
  </sheetViews>
  <sheetFormatPr defaultColWidth="8.81640625" defaultRowHeight="12.5" x14ac:dyDescent="0.25"/>
  <cols>
    <col min="1" max="1" width="5.1796875" customWidth="1"/>
    <col min="2" max="2" width="24.453125" customWidth="1"/>
    <col min="3" max="4" width="18.453125" customWidth="1"/>
    <col min="5" max="5" width="7" customWidth="1"/>
    <col min="6" max="6" width="5.1796875" customWidth="1"/>
    <col min="7" max="8" width="8.1796875" customWidth="1"/>
    <col min="9" max="9" width="9.1796875" customWidth="1"/>
    <col min="10" max="10" width="9.453125" customWidth="1"/>
    <col min="11" max="12" width="6.7265625" customWidth="1"/>
    <col min="13" max="13" width="6.453125" customWidth="1"/>
    <col min="14" max="14" width="31.1796875" customWidth="1"/>
  </cols>
  <sheetData>
    <row r="1" spans="1:14" ht="13" x14ac:dyDescent="0.3">
      <c r="A1" s="144" t="s">
        <v>1919</v>
      </c>
      <c r="B1" s="818"/>
      <c r="C1" s="819"/>
      <c r="D1" s="819"/>
      <c r="E1" s="820"/>
      <c r="F1" s="821"/>
      <c r="G1" s="821"/>
      <c r="H1" s="821"/>
      <c r="I1" s="821"/>
      <c r="J1" s="821"/>
      <c r="K1" s="821"/>
      <c r="L1" s="818"/>
      <c r="M1" s="818"/>
      <c r="N1" s="822"/>
    </row>
    <row r="2" spans="1:14" ht="13.5" customHeight="1" x14ac:dyDescent="0.25">
      <c r="A2" s="408"/>
      <c r="B2" s="823"/>
      <c r="C2" s="824"/>
      <c r="D2" s="824"/>
      <c r="E2" s="3544" t="s">
        <v>1920</v>
      </c>
      <c r="F2" s="3544"/>
      <c r="G2" s="3544"/>
      <c r="H2" s="3544"/>
      <c r="I2" s="3544"/>
      <c r="J2" s="3544"/>
      <c r="K2" s="3544"/>
      <c r="L2" s="3544"/>
      <c r="M2" s="3544"/>
      <c r="N2" s="2292"/>
    </row>
    <row r="3" spans="1:14" ht="13" x14ac:dyDescent="0.3">
      <c r="A3" s="149" t="s">
        <v>1921</v>
      </c>
      <c r="B3" s="4" t="s">
        <v>1922</v>
      </c>
      <c r="C3" s="824"/>
      <c r="D3" s="824"/>
      <c r="E3" s="3545"/>
      <c r="F3" s="3545"/>
      <c r="G3" s="3545"/>
      <c r="H3" s="3545"/>
      <c r="I3" s="3545"/>
      <c r="J3" s="3545"/>
      <c r="K3" s="3545"/>
      <c r="L3" s="3545"/>
      <c r="M3" s="3545"/>
      <c r="N3" s="2293"/>
    </row>
    <row r="4" spans="1:14" x14ac:dyDescent="0.25">
      <c r="A4" s="149" t="s">
        <v>1923</v>
      </c>
      <c r="B4" s="825" t="s">
        <v>1924</v>
      </c>
      <c r="C4" s="149" t="s">
        <v>1925</v>
      </c>
      <c r="D4" s="2296" t="s">
        <v>2635</v>
      </c>
      <c r="E4" s="149" t="s">
        <v>1926</v>
      </c>
      <c r="F4" s="2464"/>
      <c r="G4" s="2464"/>
      <c r="H4" s="2464"/>
      <c r="I4" s="2464"/>
      <c r="J4" s="2449"/>
      <c r="K4" s="149" t="s">
        <v>1927</v>
      </c>
      <c r="L4" s="2464"/>
      <c r="M4" s="2464"/>
      <c r="N4" s="1129" t="s">
        <v>1928</v>
      </c>
    </row>
    <row r="5" spans="1:14" ht="40.5" customHeight="1" x14ac:dyDescent="0.25">
      <c r="A5" s="826"/>
      <c r="B5" s="827"/>
      <c r="C5" s="3546" t="s">
        <v>1929</v>
      </c>
      <c r="D5" s="3563" t="s">
        <v>1930</v>
      </c>
      <c r="E5" s="3547" t="s">
        <v>1931</v>
      </c>
      <c r="F5" s="3296"/>
      <c r="G5" s="3296"/>
      <c r="H5" s="3296"/>
      <c r="I5" s="3296"/>
      <c r="J5" s="3284"/>
      <c r="K5" s="3551" t="s">
        <v>1932</v>
      </c>
      <c r="L5" s="3552"/>
      <c r="M5" s="3552"/>
      <c r="N5" s="245" t="s">
        <v>1933</v>
      </c>
    </row>
    <row r="6" spans="1:14" x14ac:dyDescent="0.25">
      <c r="A6" s="826"/>
      <c r="B6" s="827"/>
      <c r="C6" s="3546"/>
      <c r="D6" s="3563"/>
      <c r="E6" s="3547"/>
      <c r="F6" s="3296"/>
      <c r="G6" s="3296"/>
      <c r="H6" s="3296"/>
      <c r="I6" s="3296"/>
      <c r="J6" s="3284"/>
      <c r="K6" s="3551"/>
      <c r="L6" s="3552"/>
      <c r="M6" s="3552"/>
      <c r="N6" s="245" t="s">
        <v>1934</v>
      </c>
    </row>
    <row r="7" spans="1:14" x14ac:dyDescent="0.25">
      <c r="A7" s="826"/>
      <c r="B7" s="827"/>
      <c r="C7" s="3546"/>
      <c r="D7" s="3563"/>
      <c r="E7" s="3547"/>
      <c r="F7" s="3296"/>
      <c r="G7" s="3296"/>
      <c r="H7" s="3296"/>
      <c r="I7" s="3296"/>
      <c r="J7" s="3284"/>
      <c r="K7" s="3551"/>
      <c r="L7" s="3552"/>
      <c r="M7" s="3552"/>
      <c r="N7" s="245" t="s">
        <v>1935</v>
      </c>
    </row>
    <row r="8" spans="1:14" x14ac:dyDescent="0.25">
      <c r="A8" s="828" t="s">
        <v>1936</v>
      </c>
      <c r="B8" s="827"/>
      <c r="C8" s="3546"/>
      <c r="D8" s="3563"/>
      <c r="E8" s="3547"/>
      <c r="F8" s="3296"/>
      <c r="G8" s="3296"/>
      <c r="H8" s="3296"/>
      <c r="I8" s="3296"/>
      <c r="J8" s="3284"/>
      <c r="K8" s="3551"/>
      <c r="L8" s="3552"/>
      <c r="M8" s="3552"/>
      <c r="N8" s="2382" t="s">
        <v>1937</v>
      </c>
    </row>
    <row r="9" spans="1:14" x14ac:dyDescent="0.25">
      <c r="A9" s="826"/>
      <c r="B9" s="827"/>
      <c r="C9" s="3546"/>
      <c r="D9" s="3563"/>
      <c r="E9" s="3547"/>
      <c r="F9" s="3296"/>
      <c r="G9" s="3296"/>
      <c r="H9" s="3296"/>
      <c r="I9" s="3296"/>
      <c r="J9" s="3284"/>
      <c r="K9" s="3551"/>
      <c r="L9" s="3552"/>
      <c r="M9" s="3552"/>
      <c r="N9" s="2382" t="s">
        <v>1938</v>
      </c>
    </row>
    <row r="10" spans="1:14" ht="13.5" customHeight="1" x14ac:dyDescent="0.25">
      <c r="A10" s="826"/>
      <c r="B10" s="827"/>
      <c r="C10" s="3546"/>
      <c r="D10" s="3563"/>
      <c r="E10" s="3547"/>
      <c r="F10" s="3296"/>
      <c r="G10" s="3296"/>
      <c r="H10" s="3296"/>
      <c r="I10" s="3296"/>
      <c r="J10" s="3284"/>
      <c r="K10" s="3551"/>
      <c r="L10" s="3552"/>
      <c r="M10" s="3552"/>
      <c r="N10" s="2898" t="s">
        <v>1939</v>
      </c>
    </row>
    <row r="11" spans="1:14" ht="27" customHeight="1" x14ac:dyDescent="0.25">
      <c r="A11" s="826"/>
      <c r="B11" s="827"/>
      <c r="C11" s="3546"/>
      <c r="D11" s="3563"/>
      <c r="E11" s="3547"/>
      <c r="F11" s="3296"/>
      <c r="G11" s="3296"/>
      <c r="H11" s="3296"/>
      <c r="I11" s="3296"/>
      <c r="J11" s="3284"/>
      <c r="K11" s="3551"/>
      <c r="L11" s="3552"/>
      <c r="M11" s="3552"/>
      <c r="N11" s="2898"/>
    </row>
    <row r="12" spans="1:14" x14ac:dyDescent="0.25">
      <c r="A12" s="826"/>
      <c r="B12" s="827"/>
      <c r="C12" s="3546"/>
      <c r="D12" s="3563"/>
      <c r="E12" s="3547"/>
      <c r="F12" s="3296"/>
      <c r="G12" s="3296"/>
      <c r="H12" s="3296"/>
      <c r="I12" s="3296"/>
      <c r="J12" s="3284"/>
      <c r="K12" s="3551"/>
      <c r="L12" s="3552"/>
      <c r="M12" s="3552"/>
      <c r="N12" s="2382" t="s">
        <v>1940</v>
      </c>
    </row>
    <row r="13" spans="1:14" x14ac:dyDescent="0.25">
      <c r="A13" s="826"/>
      <c r="B13" s="827"/>
      <c r="C13" s="3546"/>
      <c r="D13" s="3563"/>
      <c r="E13" s="3547"/>
      <c r="F13" s="3296"/>
      <c r="G13" s="3296"/>
      <c r="H13" s="3296"/>
      <c r="I13" s="3296"/>
      <c r="J13" s="3284"/>
      <c r="K13" s="3551"/>
      <c r="L13" s="3552"/>
      <c r="M13" s="3552"/>
      <c r="N13" s="2782" t="s">
        <v>1941</v>
      </c>
    </row>
    <row r="14" spans="1:14" x14ac:dyDescent="0.25">
      <c r="A14" s="826"/>
      <c r="B14" s="827"/>
      <c r="C14" s="3546"/>
      <c r="D14" s="3563"/>
      <c r="E14" s="3548"/>
      <c r="F14" s="3549"/>
      <c r="G14" s="3549"/>
      <c r="H14" s="3549"/>
      <c r="I14" s="3549"/>
      <c r="J14" s="3550"/>
      <c r="K14" s="3551"/>
      <c r="L14" s="3552"/>
      <c r="M14" s="3552"/>
      <c r="N14" s="2782"/>
    </row>
    <row r="15" spans="1:14" x14ac:dyDescent="0.25">
      <c r="A15" s="826"/>
      <c r="B15" s="827"/>
      <c r="C15" s="829" t="s">
        <v>227</v>
      </c>
      <c r="D15" s="2294"/>
      <c r="E15" s="3553" t="s">
        <v>1942</v>
      </c>
      <c r="F15" s="3558" t="s">
        <v>1943</v>
      </c>
      <c r="G15" s="3558" t="s">
        <v>1944</v>
      </c>
      <c r="H15" s="3556" t="s">
        <v>1945</v>
      </c>
      <c r="I15" s="3558" t="s">
        <v>1946</v>
      </c>
      <c r="J15" s="3558" t="s">
        <v>1947</v>
      </c>
      <c r="K15" s="3551"/>
      <c r="L15" s="3552"/>
      <c r="M15" s="3552"/>
      <c r="N15" s="3561" t="s">
        <v>1948</v>
      </c>
    </row>
    <row r="16" spans="1:14" x14ac:dyDescent="0.25">
      <c r="A16" s="826"/>
      <c r="B16" s="827"/>
      <c r="C16" s="829" t="s">
        <v>1949</v>
      </c>
      <c r="D16" s="2294"/>
      <c r="E16" s="3554"/>
      <c r="F16" s="3559"/>
      <c r="G16" s="3559"/>
      <c r="H16" s="2977"/>
      <c r="I16" s="3559"/>
      <c r="J16" s="3559"/>
      <c r="K16" s="3551"/>
      <c r="L16" s="3552"/>
      <c r="M16" s="3552"/>
      <c r="N16" s="3561"/>
    </row>
    <row r="17" spans="1:14" x14ac:dyDescent="0.25">
      <c r="A17" s="830"/>
      <c r="B17" s="831"/>
      <c r="C17" s="832"/>
      <c r="D17" s="2295"/>
      <c r="E17" s="3555"/>
      <c r="F17" s="3560"/>
      <c r="G17" s="3560"/>
      <c r="H17" s="3557"/>
      <c r="I17" s="3560"/>
      <c r="J17" s="3560"/>
      <c r="K17" s="833" t="s">
        <v>1950</v>
      </c>
      <c r="L17" s="833" t="s">
        <v>1951</v>
      </c>
      <c r="M17" s="833" t="s">
        <v>1952</v>
      </c>
      <c r="N17" s="3562" t="s">
        <v>1953</v>
      </c>
    </row>
    <row r="18" spans="1:14" ht="23" x14ac:dyDescent="0.25">
      <c r="A18" s="1678">
        <v>101</v>
      </c>
      <c r="B18" s="1679" t="s">
        <v>1954</v>
      </c>
      <c r="C18" s="2286"/>
      <c r="D18" s="2281"/>
      <c r="E18" s="835"/>
      <c r="F18" s="834"/>
      <c r="G18" s="834"/>
      <c r="H18" s="834"/>
      <c r="I18" s="834"/>
      <c r="J18" s="836"/>
      <c r="K18" s="837"/>
      <c r="L18" s="838"/>
      <c r="M18" s="838"/>
      <c r="N18" s="3562"/>
    </row>
    <row r="19" spans="1:14" x14ac:dyDescent="0.25">
      <c r="A19" s="1680">
        <f>A18+1</f>
        <v>102</v>
      </c>
      <c r="B19" s="1681" t="s">
        <v>1955</v>
      </c>
      <c r="C19" s="2287"/>
      <c r="D19" s="2281"/>
      <c r="E19" s="835"/>
      <c r="F19" s="834"/>
      <c r="G19" s="834"/>
      <c r="H19" s="834"/>
      <c r="I19" s="834"/>
      <c r="J19" s="836"/>
      <c r="K19" s="839"/>
      <c r="L19" s="840"/>
      <c r="M19" s="840"/>
      <c r="N19" s="2382" t="s">
        <v>1956</v>
      </c>
    </row>
    <row r="20" spans="1:14" x14ac:dyDescent="0.25">
      <c r="A20" s="1680">
        <f t="shared" ref="A20:A39" si="0">A19+1</f>
        <v>103</v>
      </c>
      <c r="B20" s="1679" t="s">
        <v>1957</v>
      </c>
      <c r="C20" s="2287"/>
      <c r="D20" s="2281"/>
      <c r="E20" s="835"/>
      <c r="F20" s="834"/>
      <c r="G20" s="834"/>
      <c r="H20" s="834"/>
      <c r="I20" s="834"/>
      <c r="J20" s="836"/>
      <c r="K20" s="839"/>
      <c r="L20" s="840"/>
      <c r="M20" s="840"/>
      <c r="N20" s="2382"/>
    </row>
    <row r="21" spans="1:14" x14ac:dyDescent="0.25">
      <c r="A21" s="1680">
        <f t="shared" si="0"/>
        <v>104</v>
      </c>
      <c r="B21" s="1682" t="s">
        <v>1958</v>
      </c>
      <c r="C21" s="2288"/>
      <c r="D21" s="2282"/>
      <c r="E21" s="835"/>
      <c r="F21" s="834"/>
      <c r="G21" s="834"/>
      <c r="H21" s="834"/>
      <c r="I21" s="834"/>
      <c r="J21" s="836"/>
      <c r="K21" s="839"/>
      <c r="L21" s="840"/>
      <c r="M21" s="840"/>
      <c r="N21" s="250" t="s">
        <v>1959</v>
      </c>
    </row>
    <row r="22" spans="1:14" x14ac:dyDescent="0.25">
      <c r="A22" s="1680">
        <f t="shared" si="0"/>
        <v>105</v>
      </c>
      <c r="B22" s="1679" t="s">
        <v>1960</v>
      </c>
      <c r="C22" s="2289"/>
      <c r="D22" s="1682"/>
      <c r="E22" s="835"/>
      <c r="F22" s="834"/>
      <c r="G22" s="834"/>
      <c r="H22" s="834"/>
      <c r="I22" s="834"/>
      <c r="J22" s="836"/>
      <c r="K22" s="839"/>
      <c r="L22" s="840"/>
      <c r="M22" s="840"/>
      <c r="N22" s="250" t="s">
        <v>1961</v>
      </c>
    </row>
    <row r="23" spans="1:14" x14ac:dyDescent="0.25">
      <c r="A23" s="1680">
        <f t="shared" si="0"/>
        <v>106</v>
      </c>
      <c r="B23" s="1679" t="s">
        <v>1962</v>
      </c>
      <c r="C23" s="2289"/>
      <c r="D23" s="1682"/>
      <c r="E23" s="835"/>
      <c r="F23" s="834"/>
      <c r="G23" s="834"/>
      <c r="H23" s="834"/>
      <c r="I23" s="834"/>
      <c r="J23" s="836"/>
      <c r="K23" s="839"/>
      <c r="L23" s="840"/>
      <c r="M23" s="840"/>
      <c r="N23" s="245" t="s">
        <v>1963</v>
      </c>
    </row>
    <row r="24" spans="1:14" x14ac:dyDescent="0.25">
      <c r="A24" s="1680">
        <f t="shared" si="0"/>
        <v>107</v>
      </c>
      <c r="B24" s="1683" t="s">
        <v>1964</v>
      </c>
      <c r="C24" s="2289"/>
      <c r="D24" s="1682"/>
      <c r="E24" s="835"/>
      <c r="F24" s="834"/>
      <c r="G24" s="834"/>
      <c r="H24" s="834"/>
      <c r="I24" s="834"/>
      <c r="J24" s="836"/>
      <c r="K24" s="839"/>
      <c r="L24" s="840"/>
      <c r="M24" s="840"/>
      <c r="N24" s="245" t="s">
        <v>1965</v>
      </c>
    </row>
    <row r="25" spans="1:14" x14ac:dyDescent="0.25">
      <c r="A25" s="1680">
        <f t="shared" si="0"/>
        <v>108</v>
      </c>
      <c r="B25" s="841" t="s">
        <v>1966</v>
      </c>
      <c r="C25" s="2289"/>
      <c r="D25" s="1682"/>
      <c r="E25" s="835"/>
      <c r="F25" s="834"/>
      <c r="G25" s="834"/>
      <c r="H25" s="834"/>
      <c r="I25" s="834"/>
      <c r="J25" s="836"/>
      <c r="K25" s="839"/>
      <c r="L25" s="840"/>
      <c r="M25" s="840"/>
      <c r="N25" s="797" t="s">
        <v>1967</v>
      </c>
    </row>
    <row r="26" spans="1:14" ht="23" x14ac:dyDescent="0.25">
      <c r="A26" s="1680">
        <f t="shared" si="0"/>
        <v>109</v>
      </c>
      <c r="B26" s="1679" t="s">
        <v>1968</v>
      </c>
      <c r="C26" s="2289"/>
      <c r="D26" s="1682"/>
      <c r="E26" s="835"/>
      <c r="F26" s="834"/>
      <c r="G26" s="834"/>
      <c r="H26" s="834"/>
      <c r="I26" s="834"/>
      <c r="J26" s="836"/>
      <c r="K26" s="839"/>
      <c r="L26" s="840"/>
      <c r="M26" s="840"/>
      <c r="N26" s="797" t="s">
        <v>1969</v>
      </c>
    </row>
    <row r="27" spans="1:14" x14ac:dyDescent="0.25">
      <c r="A27" s="1680">
        <f t="shared" si="0"/>
        <v>110</v>
      </c>
      <c r="B27" s="1679" t="s">
        <v>1970</v>
      </c>
      <c r="C27" s="2289"/>
      <c r="D27" s="1682"/>
      <c r="E27" s="835"/>
      <c r="F27" s="834"/>
      <c r="G27" s="834"/>
      <c r="H27" s="834"/>
      <c r="I27" s="834"/>
      <c r="J27" s="836"/>
      <c r="K27" s="839"/>
      <c r="L27" s="840"/>
      <c r="M27" s="840"/>
      <c r="N27" s="797" t="s">
        <v>1971</v>
      </c>
    </row>
    <row r="28" spans="1:14" x14ac:dyDescent="0.25">
      <c r="A28" s="1680">
        <f t="shared" si="0"/>
        <v>111</v>
      </c>
      <c r="B28" s="1679" t="s">
        <v>1972</v>
      </c>
      <c r="C28" s="2289"/>
      <c r="D28" s="1682"/>
      <c r="E28" s="835"/>
      <c r="F28" s="834"/>
      <c r="G28" s="834"/>
      <c r="H28" s="834"/>
      <c r="I28" s="834"/>
      <c r="J28" s="836"/>
      <c r="K28" s="839"/>
      <c r="L28" s="840"/>
      <c r="M28" s="840"/>
      <c r="N28" s="797" t="s">
        <v>1973</v>
      </c>
    </row>
    <row r="29" spans="1:14" ht="23" x14ac:dyDescent="0.25">
      <c r="A29" s="1680">
        <f t="shared" si="0"/>
        <v>112</v>
      </c>
      <c r="B29" s="1679" t="s">
        <v>1974</v>
      </c>
      <c r="C29" s="2289"/>
      <c r="D29" s="1682"/>
      <c r="E29" s="835"/>
      <c r="F29" s="834"/>
      <c r="G29" s="834"/>
      <c r="H29" s="834"/>
      <c r="I29" s="834"/>
      <c r="J29" s="836"/>
      <c r="K29" s="839"/>
      <c r="L29" s="840"/>
      <c r="M29" s="840"/>
      <c r="N29" s="2382" t="s">
        <v>1975</v>
      </c>
    </row>
    <row r="30" spans="1:14" ht="34.5" x14ac:dyDescent="0.25">
      <c r="A30" s="1680">
        <f t="shared" si="0"/>
        <v>113</v>
      </c>
      <c r="B30" s="1679" t="s">
        <v>1976</v>
      </c>
      <c r="C30" s="2289"/>
      <c r="D30" s="1682"/>
      <c r="E30" s="835"/>
      <c r="F30" s="834"/>
      <c r="G30" s="834"/>
      <c r="H30" s="834"/>
      <c r="I30" s="834"/>
      <c r="J30" s="836"/>
      <c r="K30" s="839"/>
      <c r="L30" s="840"/>
      <c r="M30" s="840"/>
      <c r="N30" s="250" t="s">
        <v>1977</v>
      </c>
    </row>
    <row r="31" spans="1:14" ht="27" customHeight="1" x14ac:dyDescent="0.25">
      <c r="A31" s="1680">
        <f t="shared" si="0"/>
        <v>114</v>
      </c>
      <c r="B31" s="1679" t="s">
        <v>1978</v>
      </c>
      <c r="C31" s="2289"/>
      <c r="D31" s="1682"/>
      <c r="E31" s="835"/>
      <c r="F31" s="834"/>
      <c r="G31" s="834"/>
      <c r="H31" s="834"/>
      <c r="I31" s="834"/>
      <c r="J31" s="836"/>
      <c r="K31" s="839"/>
      <c r="L31" s="840"/>
      <c r="M31" s="840"/>
      <c r="N31" s="245" t="s">
        <v>1979</v>
      </c>
    </row>
    <row r="32" spans="1:14" ht="34.5" x14ac:dyDescent="0.25">
      <c r="A32" s="1680">
        <f t="shared" si="0"/>
        <v>115</v>
      </c>
      <c r="B32" s="1679" t="s">
        <v>1980</v>
      </c>
      <c r="C32" s="2289"/>
      <c r="D32" s="1682"/>
      <c r="E32" s="835"/>
      <c r="F32" s="834"/>
      <c r="G32" s="834"/>
      <c r="H32" s="834"/>
      <c r="I32" s="834"/>
      <c r="J32" s="836"/>
      <c r="K32" s="839"/>
      <c r="L32" s="840"/>
      <c r="M32" s="840"/>
      <c r="N32" s="2384" t="s">
        <v>1981</v>
      </c>
    </row>
    <row r="33" spans="1:14" x14ac:dyDescent="0.25">
      <c r="A33" s="1680">
        <f t="shared" si="0"/>
        <v>116</v>
      </c>
      <c r="B33" s="1679" t="s">
        <v>1982</v>
      </c>
      <c r="C33" s="2290"/>
      <c r="D33" s="2283"/>
      <c r="E33" s="843"/>
      <c r="F33" s="842"/>
      <c r="G33" s="842"/>
      <c r="H33" s="842"/>
      <c r="I33" s="842"/>
      <c r="J33" s="844"/>
      <c r="K33" s="839"/>
      <c r="L33" s="840"/>
      <c r="M33" s="840"/>
      <c r="N33" s="2384"/>
    </row>
    <row r="34" spans="1:14" ht="23" x14ac:dyDescent="0.25">
      <c r="A34" s="1680">
        <f t="shared" si="0"/>
        <v>117</v>
      </c>
      <c r="B34" s="1679" t="s">
        <v>1983</v>
      </c>
      <c r="C34" s="2290"/>
      <c r="D34" s="2283"/>
      <c r="E34" s="843"/>
      <c r="F34" s="842"/>
      <c r="G34" s="842"/>
      <c r="H34" s="842"/>
      <c r="I34" s="842"/>
      <c r="J34" s="844"/>
      <c r="K34" s="839"/>
      <c r="L34" s="840"/>
      <c r="M34" s="840"/>
      <c r="N34" s="245" t="s">
        <v>1984</v>
      </c>
    </row>
    <row r="35" spans="1:14" x14ac:dyDescent="0.25">
      <c r="A35" s="1680">
        <f t="shared" si="0"/>
        <v>118</v>
      </c>
      <c r="B35" s="1679" t="s">
        <v>1985</v>
      </c>
      <c r="C35" s="2290"/>
      <c r="D35" s="2284"/>
      <c r="E35" s="1351"/>
      <c r="F35" s="1352"/>
      <c r="G35" s="1352"/>
      <c r="H35" s="1352"/>
      <c r="I35" s="1352"/>
      <c r="J35" s="1148"/>
      <c r="K35" s="839"/>
      <c r="L35" s="840"/>
      <c r="M35" s="840"/>
      <c r="N35" s="245" t="s">
        <v>1986</v>
      </c>
    </row>
    <row r="36" spans="1:14" x14ac:dyDescent="0.25">
      <c r="A36" s="1680">
        <f t="shared" si="0"/>
        <v>119</v>
      </c>
      <c r="B36" s="1681" t="s">
        <v>1987</v>
      </c>
      <c r="C36" s="2289"/>
      <c r="D36" s="1682"/>
      <c r="E36" s="835"/>
      <c r="F36" s="834"/>
      <c r="G36" s="834"/>
      <c r="H36" s="834"/>
      <c r="I36" s="834"/>
      <c r="J36" s="836"/>
      <c r="K36" s="839"/>
      <c r="L36" s="840"/>
      <c r="M36" s="840"/>
      <c r="N36" s="245"/>
    </row>
    <row r="37" spans="1:14" ht="23" x14ac:dyDescent="0.25">
      <c r="A37" s="1680">
        <f t="shared" si="0"/>
        <v>120</v>
      </c>
      <c r="B37" s="1681" t="s">
        <v>1988</v>
      </c>
      <c r="C37" s="2289"/>
      <c r="D37" s="1682"/>
      <c r="E37" s="835"/>
      <c r="F37" s="834"/>
      <c r="G37" s="834"/>
      <c r="H37" s="834"/>
      <c r="I37" s="834"/>
      <c r="J37" s="836"/>
      <c r="K37" s="839"/>
      <c r="L37" s="840"/>
      <c r="M37" s="840"/>
      <c r="N37" s="245" t="s">
        <v>1989</v>
      </c>
    </row>
    <row r="38" spans="1:14" s="259" customFormat="1" x14ac:dyDescent="0.25">
      <c r="A38" s="1680">
        <f t="shared" si="0"/>
        <v>121</v>
      </c>
      <c r="B38" s="1681" t="s">
        <v>1990</v>
      </c>
      <c r="C38" s="2291"/>
      <c r="D38" s="2285"/>
      <c r="E38" s="967"/>
      <c r="F38" s="968"/>
      <c r="G38" s="968"/>
      <c r="H38" s="968"/>
      <c r="I38" s="968"/>
      <c r="J38" s="969"/>
      <c r="K38" s="970"/>
      <c r="L38" s="971"/>
      <c r="M38" s="971"/>
      <c r="N38" s="245"/>
    </row>
    <row r="39" spans="1:14" x14ac:dyDescent="0.25">
      <c r="A39" s="1680">
        <f t="shared" si="0"/>
        <v>122</v>
      </c>
      <c r="B39" s="1681" t="s">
        <v>1601</v>
      </c>
      <c r="C39" s="2289"/>
      <c r="D39" s="1682"/>
      <c r="E39" s="835"/>
      <c r="F39" s="834"/>
      <c r="G39" s="834"/>
      <c r="H39" s="834"/>
      <c r="I39" s="834"/>
      <c r="J39" s="836"/>
      <c r="K39" s="839"/>
      <c r="L39" s="840"/>
      <c r="M39" s="840"/>
      <c r="N39" s="1060"/>
    </row>
    <row r="40" spans="1:14" x14ac:dyDescent="0.25">
      <c r="A40" s="845"/>
      <c r="B40" s="5"/>
      <c r="C40" s="846"/>
      <c r="D40" s="846"/>
      <c r="E40" s="846"/>
      <c r="F40" s="846"/>
      <c r="G40" s="846"/>
      <c r="H40" s="846"/>
      <c r="I40" s="846"/>
      <c r="J40" s="846"/>
      <c r="K40" s="847"/>
      <c r="L40" s="847"/>
      <c r="M40" s="847"/>
    </row>
    <row r="41" spans="1:14" x14ac:dyDescent="0.25">
      <c r="A41" s="5"/>
      <c r="B41" s="5"/>
      <c r="C41" s="5"/>
      <c r="D41" s="5"/>
      <c r="E41" s="5"/>
      <c r="F41" s="5"/>
      <c r="G41" s="5"/>
      <c r="H41" s="5"/>
      <c r="I41" s="5"/>
      <c r="J41" s="5"/>
      <c r="K41" s="5"/>
      <c r="L41" s="5"/>
      <c r="M41" s="5"/>
    </row>
    <row r="42" spans="1:14" x14ac:dyDescent="0.25">
      <c r="B42" s="848"/>
    </row>
    <row r="43" spans="1:14" x14ac:dyDescent="0.25">
      <c r="B43" s="848"/>
    </row>
    <row r="44" spans="1:14" x14ac:dyDescent="0.25">
      <c r="B44" s="848"/>
    </row>
  </sheetData>
  <mergeCells count="15">
    <mergeCell ref="E2:M3"/>
    <mergeCell ref="N10:N11"/>
    <mergeCell ref="C5:C14"/>
    <mergeCell ref="E5:J14"/>
    <mergeCell ref="K5:M16"/>
    <mergeCell ref="N13:N14"/>
    <mergeCell ref="E15:E17"/>
    <mergeCell ref="H15:H17"/>
    <mergeCell ref="F15:F17"/>
    <mergeCell ref="G15:G17"/>
    <mergeCell ref="I15:I17"/>
    <mergeCell ref="J15:J17"/>
    <mergeCell ref="N15:N16"/>
    <mergeCell ref="N17:N18"/>
    <mergeCell ref="D5:D14"/>
  </mergeCells>
  <pageMargins left="0.314" right="0.314" top="0.11799999999999999" bottom="0.27500000000000002" header="0.157" footer="0.11799999999999999"/>
  <pageSetup scale="83" firstPageNumber="63" orientation="landscape"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35"/>
  <sheetViews>
    <sheetView topLeftCell="A25" zoomScale="130" zoomScaleNormal="130" zoomScaleSheetLayoutView="130" workbookViewId="0">
      <selection activeCell="B34" sqref="B34"/>
    </sheetView>
  </sheetViews>
  <sheetFormatPr defaultColWidth="8.81640625" defaultRowHeight="15.5" x14ac:dyDescent="0.35"/>
  <cols>
    <col min="1" max="1" width="5.7265625" style="442" customWidth="1"/>
    <col min="2" max="2" width="31.81640625" style="442" customWidth="1"/>
    <col min="3" max="3" width="10.26953125" style="443" customWidth="1"/>
    <col min="4" max="4" width="11.453125" style="443" customWidth="1"/>
    <col min="5" max="5" width="18.81640625" style="443" customWidth="1"/>
    <col min="6" max="6" width="11.453125" style="443" customWidth="1"/>
    <col min="7" max="7" width="20.453125" style="443" customWidth="1"/>
    <col min="8" max="8" width="12.81640625" style="443" customWidth="1"/>
    <col min="9" max="12" width="6.26953125" style="443" bestFit="1" customWidth="1"/>
    <col min="13" max="13" width="5.7265625" style="442" customWidth="1"/>
    <col min="14" max="14" width="31.81640625" style="442" customWidth="1"/>
    <col min="15" max="15" width="8.7265625" style="443" customWidth="1"/>
    <col min="16" max="16" width="6.453125" style="443" bestFit="1" customWidth="1"/>
    <col min="17" max="17" width="7" style="442" customWidth="1"/>
    <col min="18" max="18" width="4.26953125" style="445" bestFit="1" customWidth="1"/>
    <col min="19" max="19" width="5.453125" bestFit="1" customWidth="1"/>
    <col min="20" max="20" width="11.7265625" style="442" customWidth="1"/>
    <col min="21" max="21" width="16.26953125" style="442" customWidth="1"/>
  </cols>
  <sheetData>
    <row r="1" spans="1:21" x14ac:dyDescent="0.25">
      <c r="A1" s="398" t="s">
        <v>2049</v>
      </c>
      <c r="B1" s="398"/>
      <c r="C1" s="399"/>
      <c r="D1" s="399"/>
      <c r="E1" s="399"/>
      <c r="F1" s="399"/>
      <c r="G1" s="399"/>
      <c r="H1" s="399"/>
      <c r="I1" s="399"/>
      <c r="J1" s="399"/>
      <c r="K1" s="399"/>
      <c r="L1" s="399"/>
      <c r="M1" s="398" t="s">
        <v>2049</v>
      </c>
      <c r="N1" s="398"/>
      <c r="O1" s="399"/>
      <c r="P1" s="399"/>
      <c r="Q1" s="401"/>
      <c r="R1" s="400"/>
      <c r="T1" s="401"/>
      <c r="U1" s="401"/>
    </row>
    <row r="2" spans="1:21" x14ac:dyDescent="0.25">
      <c r="A2" s="398"/>
      <c r="B2" s="641" t="s">
        <v>2050</v>
      </c>
      <c r="C2" s="328"/>
      <c r="D2" s="328"/>
      <c r="E2" s="328"/>
      <c r="F2" s="328"/>
      <c r="G2" s="328"/>
      <c r="H2" s="328"/>
      <c r="I2" s="328"/>
      <c r="J2" s="328"/>
      <c r="K2" s="328"/>
      <c r="L2" s="328"/>
      <c r="M2" s="398"/>
      <c r="N2" s="641" t="s">
        <v>2050</v>
      </c>
      <c r="O2" s="328"/>
      <c r="P2" s="328"/>
      <c r="Q2" s="402"/>
      <c r="R2" s="400"/>
      <c r="T2" s="402"/>
      <c r="U2" s="402"/>
    </row>
    <row r="4" spans="1:21" ht="13.5" customHeight="1" x14ac:dyDescent="0.25">
      <c r="A4" s="1133">
        <v>15.01</v>
      </c>
      <c r="B4" s="928"/>
      <c r="C4" s="1789">
        <f>A4+0.01</f>
        <v>15.02</v>
      </c>
      <c r="D4" s="1789">
        <f t="shared" ref="D4:I4" si="0">C4+0.01</f>
        <v>15.03</v>
      </c>
      <c r="E4" s="2222">
        <f t="shared" si="0"/>
        <v>15.04</v>
      </c>
      <c r="F4" s="1789">
        <f t="shared" si="0"/>
        <v>15.049999999999999</v>
      </c>
      <c r="G4" s="2222">
        <f t="shared" si="0"/>
        <v>15.059999999999999</v>
      </c>
      <c r="H4" s="642">
        <f t="shared" si="0"/>
        <v>15.069999999999999</v>
      </c>
      <c r="I4" s="3577">
        <f t="shared" si="0"/>
        <v>15.079999999999998</v>
      </c>
      <c r="J4" s="3578"/>
      <c r="K4" s="3578"/>
      <c r="L4" s="2218"/>
      <c r="M4" s="2221">
        <v>15.01</v>
      </c>
      <c r="N4" s="928"/>
      <c r="O4" s="642">
        <f>I4+0.01</f>
        <v>15.089999999999998</v>
      </c>
      <c r="P4" s="2517">
        <f>O4+0.01</f>
        <v>15.099999999999998</v>
      </c>
      <c r="Q4" s="1568"/>
      <c r="R4" s="3578">
        <f>P4+0.01</f>
        <v>15.109999999999998</v>
      </c>
      <c r="S4" s="3579"/>
      <c r="T4" s="642">
        <f>R4+0.01</f>
        <v>15.119999999999997</v>
      </c>
      <c r="U4" s="2309">
        <f>T4+0.01</f>
        <v>15.129999999999997</v>
      </c>
    </row>
    <row r="5" spans="1:21" ht="12.75" customHeight="1" x14ac:dyDescent="0.25">
      <c r="A5" s="2766" t="s">
        <v>2051</v>
      </c>
      <c r="B5" s="929"/>
      <c r="C5" s="2891" t="s">
        <v>2052</v>
      </c>
      <c r="D5" s="2891" t="s">
        <v>2053</v>
      </c>
      <c r="E5" s="2805" t="s">
        <v>2054</v>
      </c>
      <c r="F5" s="2891" t="s">
        <v>2055</v>
      </c>
      <c r="G5" s="2805" t="s">
        <v>2056</v>
      </c>
      <c r="H5" s="2783" t="s">
        <v>2057</v>
      </c>
      <c r="I5" s="2784" t="s">
        <v>2058</v>
      </c>
      <c r="J5" s="2785"/>
      <c r="K5" s="2785"/>
      <c r="L5" s="2786"/>
      <c r="M5" s="3567" t="s">
        <v>2051</v>
      </c>
      <c r="N5" s="929"/>
      <c r="O5" s="2783" t="s">
        <v>2059</v>
      </c>
      <c r="P5" s="3120" t="s">
        <v>2060</v>
      </c>
      <c r="Q5" s="3121"/>
      <c r="R5" s="3120" t="s">
        <v>2061</v>
      </c>
      <c r="S5" s="3121"/>
      <c r="T5" s="3100" t="s">
        <v>2062</v>
      </c>
      <c r="U5" s="3564" t="s">
        <v>2063</v>
      </c>
    </row>
    <row r="6" spans="1:21" ht="12.75" customHeight="1" x14ac:dyDescent="0.25">
      <c r="A6" s="2767"/>
      <c r="B6" s="929"/>
      <c r="C6" s="2891"/>
      <c r="D6" s="2891"/>
      <c r="E6" s="2805"/>
      <c r="F6" s="2891"/>
      <c r="G6" s="2805"/>
      <c r="H6" s="2783"/>
      <c r="I6" s="2784"/>
      <c r="J6" s="2785"/>
      <c r="K6" s="2785"/>
      <c r="L6" s="2786"/>
      <c r="M6" s="3568"/>
      <c r="N6" s="929"/>
      <c r="O6" s="2783"/>
      <c r="P6" s="3120"/>
      <c r="Q6" s="3121"/>
      <c r="R6" s="3120"/>
      <c r="S6" s="3121"/>
      <c r="T6" s="3100"/>
      <c r="U6" s="3564"/>
    </row>
    <row r="7" spans="1:21" ht="12.75" customHeight="1" x14ac:dyDescent="0.25">
      <c r="A7" s="2767"/>
      <c r="B7" s="929"/>
      <c r="C7" s="2891"/>
      <c r="D7" s="2891"/>
      <c r="E7" s="2805"/>
      <c r="F7" s="2891"/>
      <c r="G7" s="2805"/>
      <c r="H7" s="2783"/>
      <c r="I7" s="2784"/>
      <c r="J7" s="2785"/>
      <c r="K7" s="2785"/>
      <c r="L7" s="2786"/>
      <c r="M7" s="3568"/>
      <c r="N7" s="929"/>
      <c r="O7" s="2783"/>
      <c r="P7" s="3120"/>
      <c r="Q7" s="3121"/>
      <c r="R7" s="3120"/>
      <c r="S7" s="3121"/>
      <c r="T7" s="3100"/>
      <c r="U7" s="3564"/>
    </row>
    <row r="8" spans="1:21" ht="12.75" customHeight="1" x14ac:dyDescent="0.25">
      <c r="A8" s="2767"/>
      <c r="B8" s="929"/>
      <c r="C8" s="2891"/>
      <c r="D8" s="2891"/>
      <c r="E8" s="2805"/>
      <c r="F8" s="2891"/>
      <c r="G8" s="2805"/>
      <c r="H8" s="2783"/>
      <c r="I8" s="2784"/>
      <c r="J8" s="2785"/>
      <c r="K8" s="2785"/>
      <c r="L8" s="2786"/>
      <c r="M8" s="3568"/>
      <c r="N8" s="929"/>
      <c r="O8" s="2783"/>
      <c r="P8" s="3120"/>
      <c r="Q8" s="3121"/>
      <c r="R8" s="3120"/>
      <c r="S8" s="3121"/>
      <c r="T8" s="3100"/>
      <c r="U8" s="3564"/>
    </row>
    <row r="9" spans="1:21" ht="12.5" x14ac:dyDescent="0.25">
      <c r="A9" s="2767"/>
      <c r="B9" s="929"/>
      <c r="C9" s="2891"/>
      <c r="D9" s="2891"/>
      <c r="E9" s="2805"/>
      <c r="F9" s="2891"/>
      <c r="G9" s="2805"/>
      <c r="H9" s="2783"/>
      <c r="I9" s="2348"/>
      <c r="J9" s="2369"/>
      <c r="K9" s="2369"/>
      <c r="L9" s="2380"/>
      <c r="M9" s="3568"/>
      <c r="N9" s="929"/>
      <c r="O9" s="2783"/>
      <c r="P9" s="3120"/>
      <c r="Q9" s="3121"/>
      <c r="R9" s="3120"/>
      <c r="S9" s="3121"/>
      <c r="T9" s="3100"/>
      <c r="U9" s="3564"/>
    </row>
    <row r="10" spans="1:21" ht="15.75" customHeight="1" x14ac:dyDescent="0.25">
      <c r="A10" s="2767"/>
      <c r="B10" s="929"/>
      <c r="C10" s="2891"/>
      <c r="D10" s="2891"/>
      <c r="E10" s="2805"/>
      <c r="F10" s="2891"/>
      <c r="G10" s="2805"/>
      <c r="H10" s="2783"/>
      <c r="I10" s="3581" t="s">
        <v>2064</v>
      </c>
      <c r="J10" s="3582"/>
      <c r="K10" s="3582"/>
      <c r="L10" s="3583"/>
      <c r="M10" s="3568"/>
      <c r="N10" s="929"/>
      <c r="O10" s="2783"/>
      <c r="P10" s="3120"/>
      <c r="Q10" s="3121"/>
      <c r="R10" s="3120"/>
      <c r="S10" s="3121"/>
      <c r="T10" s="3100"/>
      <c r="U10" s="3564"/>
    </row>
    <row r="11" spans="1:21" ht="15.75" customHeight="1" x14ac:dyDescent="0.25">
      <c r="A11" s="2767"/>
      <c r="B11" s="3570" t="s">
        <v>2065</v>
      </c>
      <c r="C11" s="2891"/>
      <c r="D11" s="2891"/>
      <c r="E11" s="2805" t="str">
        <f>CONCATENATE("1 Pas elligible
2 Ne sait pas si elligble
3 Ne sait pas comment faire la demande
4 Elligible mais procédure trop contraignante
5 Elligible mais pas besoin
6 A fait une demande au cours des 12 derniers mois
7 Pas nécéssaire
8 Autres")</f>
        <v>1 Pas elligible
2 Ne sait pas si elligble
3 Ne sait pas comment faire la demande
4 Elligible mais procédure trop contraignante
5 Elligible mais pas besoin
6 A fait une demande au cours des 12 derniers mois
7 Pas nécéssaire
8 Autres</v>
      </c>
      <c r="F11" s="2891"/>
      <c r="G11" s="2805"/>
      <c r="H11" s="2783"/>
      <c r="I11" s="3581"/>
      <c r="J11" s="3582"/>
      <c r="K11" s="3582"/>
      <c r="L11" s="3583"/>
      <c r="M11" s="3568"/>
      <c r="N11" s="3570" t="s">
        <v>2065</v>
      </c>
      <c r="O11" s="2783"/>
      <c r="P11" s="3120"/>
      <c r="Q11" s="3121"/>
      <c r="R11" s="3120"/>
      <c r="S11" s="3121"/>
      <c r="T11" s="3100"/>
      <c r="U11" s="2310"/>
    </row>
    <row r="12" spans="1:21" ht="12.5" x14ac:dyDescent="0.25">
      <c r="A12" s="2767"/>
      <c r="B12" s="3570"/>
      <c r="C12" s="2891"/>
      <c r="D12" s="2891"/>
      <c r="E12" s="2805"/>
      <c r="F12" s="2891"/>
      <c r="G12" s="2805" t="s">
        <v>2066</v>
      </c>
      <c r="H12" s="2783"/>
      <c r="I12" s="3581"/>
      <c r="J12" s="3582"/>
      <c r="K12" s="3582"/>
      <c r="L12" s="3583"/>
      <c r="M12" s="3568"/>
      <c r="N12" s="3570"/>
      <c r="O12" s="2783"/>
      <c r="P12" s="3120"/>
      <c r="Q12" s="3121"/>
      <c r="R12" s="3120"/>
      <c r="S12" s="3121"/>
      <c r="T12" s="3100"/>
      <c r="U12" s="2310"/>
    </row>
    <row r="13" spans="1:21" ht="16" customHeight="1" x14ac:dyDescent="0.25">
      <c r="A13" s="2767"/>
      <c r="B13" s="3570"/>
      <c r="C13" s="2891"/>
      <c r="D13" s="2891"/>
      <c r="E13" s="2805"/>
      <c r="F13" s="2891"/>
      <c r="G13" s="2805"/>
      <c r="H13" s="2783"/>
      <c r="I13" s="2348"/>
      <c r="J13" s="2369"/>
      <c r="K13" s="2369"/>
      <c r="L13" s="2380"/>
      <c r="M13" s="3568"/>
      <c r="N13" s="3570"/>
      <c r="O13" s="2783"/>
      <c r="P13" s="3120"/>
      <c r="Q13" s="3121"/>
      <c r="R13" s="3120"/>
      <c r="S13" s="3121"/>
      <c r="T13" s="3100"/>
      <c r="U13" s="2310"/>
    </row>
    <row r="14" spans="1:21" ht="23" x14ac:dyDescent="0.25">
      <c r="A14" s="2767"/>
      <c r="B14" s="3570"/>
      <c r="C14" s="1790"/>
      <c r="D14" s="1790"/>
      <c r="E14" s="2805"/>
      <c r="F14" s="1790"/>
      <c r="G14" s="2805"/>
      <c r="H14" s="2454"/>
      <c r="I14" s="795"/>
      <c r="J14" s="794"/>
      <c r="K14" s="794"/>
      <c r="L14" s="2219"/>
      <c r="M14" s="3568"/>
      <c r="N14" s="3570"/>
      <c r="O14" s="2783"/>
      <c r="P14" s="3565"/>
      <c r="Q14" s="3566"/>
      <c r="R14" s="3120"/>
      <c r="S14" s="3121"/>
      <c r="T14" s="2443" t="s">
        <v>227</v>
      </c>
      <c r="U14" s="2311" t="s">
        <v>2067</v>
      </c>
    </row>
    <row r="15" spans="1:21" ht="12.5" x14ac:dyDescent="0.25">
      <c r="A15" s="2767"/>
      <c r="B15" s="3570"/>
      <c r="C15" s="1695"/>
      <c r="D15" s="1695"/>
      <c r="E15" s="2805"/>
      <c r="F15" s="1695"/>
      <c r="G15" s="2805"/>
      <c r="H15" s="58"/>
      <c r="I15" s="369"/>
      <c r="J15" s="158"/>
      <c r="K15" s="158"/>
      <c r="L15" s="2112"/>
      <c r="M15" s="3568"/>
      <c r="N15" s="3570"/>
      <c r="O15" s="2783"/>
      <c r="P15" s="1684"/>
      <c r="Q15" s="1685"/>
      <c r="R15" s="3120"/>
      <c r="S15" s="3121"/>
      <c r="T15" s="3100" t="s">
        <v>2068</v>
      </c>
      <c r="U15" s="2311" t="s">
        <v>2069</v>
      </c>
    </row>
    <row r="16" spans="1:21" ht="16" customHeight="1" x14ac:dyDescent="0.25">
      <c r="A16" s="2767"/>
      <c r="B16" s="929"/>
      <c r="C16" s="1695" t="s">
        <v>771</v>
      </c>
      <c r="D16" s="1695" t="str">
        <f>CONCATENATE("1 Oui ►(",TEXT(F4,"0.00"),")")</f>
        <v>1 Oui ►(15.05)</v>
      </c>
      <c r="E16" s="2805"/>
      <c r="F16" s="1695" t="str">
        <f>CONCATENATE("1 Oui ►(",TEXT(H4,"0.00"),")")</f>
        <v>1 Oui ►(15.07)</v>
      </c>
      <c r="G16" s="2805"/>
      <c r="H16" s="58" t="str">
        <f>CONCATENATE("1 Ménage ►","(",TEXT(O4,"0.00"),")")</f>
        <v>1 Ménage ►(15.09)</v>
      </c>
      <c r="I16" s="369"/>
      <c r="J16" s="158"/>
      <c r="K16" s="158"/>
      <c r="L16" s="2112"/>
      <c r="M16" s="3568"/>
      <c r="N16" s="929"/>
      <c r="O16" s="58"/>
      <c r="P16" s="3565" t="s">
        <v>2070</v>
      </c>
      <c r="Q16" s="3566"/>
      <c r="R16" s="3120"/>
      <c r="S16" s="3121"/>
      <c r="T16" s="3100"/>
      <c r="U16" s="2311" t="s">
        <v>2071</v>
      </c>
    </row>
    <row r="17" spans="1:21" ht="15" customHeight="1" x14ac:dyDescent="0.25">
      <c r="A17" s="2767"/>
      <c r="B17" s="3571" t="s">
        <v>2072</v>
      </c>
      <c r="C17" s="2891" t="s">
        <v>2073</v>
      </c>
      <c r="D17" s="2383" t="s">
        <v>240</v>
      </c>
      <c r="E17" s="2805"/>
      <c r="F17" s="2891" t="s">
        <v>494</v>
      </c>
      <c r="G17" s="2805"/>
      <c r="H17" s="58" t="s">
        <v>2074</v>
      </c>
      <c r="I17" s="369"/>
      <c r="J17" s="158"/>
      <c r="K17" s="158"/>
      <c r="L17" s="2112"/>
      <c r="M17" s="3568"/>
      <c r="N17" s="3571" t="s">
        <v>2072</v>
      </c>
      <c r="O17" s="58"/>
      <c r="P17" s="1684">
        <v>1</v>
      </c>
      <c r="Q17" s="1685" t="s">
        <v>143</v>
      </c>
      <c r="R17" s="3120"/>
      <c r="S17" s="3121"/>
      <c r="T17" s="1754"/>
      <c r="U17" s="2311" t="s">
        <v>2075</v>
      </c>
    </row>
    <row r="18" spans="1:21" ht="12.5" x14ac:dyDescent="0.25">
      <c r="A18" s="2767"/>
      <c r="B18" s="3571"/>
      <c r="C18" s="2891"/>
      <c r="D18" s="2383"/>
      <c r="E18" s="2805"/>
      <c r="F18" s="2891"/>
      <c r="G18" s="2805"/>
      <c r="H18" s="58"/>
      <c r="I18" s="369"/>
      <c r="J18" s="158"/>
      <c r="K18" s="158"/>
      <c r="L18" s="2112"/>
      <c r="M18" s="3568"/>
      <c r="N18" s="3571"/>
      <c r="O18" s="58"/>
      <c r="P18" s="1684">
        <v>2</v>
      </c>
      <c r="Q18" s="1685" t="s">
        <v>1592</v>
      </c>
      <c r="R18" s="2369"/>
      <c r="S18" s="578"/>
      <c r="T18" s="1754"/>
      <c r="U18" s="2312" t="s">
        <v>2076</v>
      </c>
    </row>
    <row r="19" spans="1:21" ht="12.5" x14ac:dyDescent="0.25">
      <c r="A19" s="2767"/>
      <c r="B19" s="3571"/>
      <c r="C19" s="1695"/>
      <c r="D19" s="1695"/>
      <c r="E19" s="2805"/>
      <c r="F19" s="1695"/>
      <c r="G19" s="2805"/>
      <c r="H19" s="58"/>
      <c r="I19" s="621"/>
      <c r="J19" s="617"/>
      <c r="K19" s="617"/>
      <c r="L19" s="2220"/>
      <c r="M19" s="3568"/>
      <c r="N19" s="3571"/>
      <c r="O19" s="58"/>
      <c r="P19" s="369"/>
      <c r="Q19" s="1686"/>
      <c r="R19" s="158"/>
      <c r="S19" s="578"/>
      <c r="T19" s="458"/>
      <c r="U19" s="2313"/>
    </row>
    <row r="20" spans="1:21" ht="12.5" x14ac:dyDescent="0.25">
      <c r="A20" s="2767"/>
      <c r="B20" s="3571"/>
      <c r="C20" s="1695"/>
      <c r="D20" s="1695"/>
      <c r="E20" s="2805"/>
      <c r="F20" s="1695"/>
      <c r="G20" s="2805"/>
      <c r="H20" s="58"/>
      <c r="I20" s="3573" t="s">
        <v>2077</v>
      </c>
      <c r="J20" s="3573" t="s">
        <v>2078</v>
      </c>
      <c r="K20" s="3573" t="s">
        <v>2079</v>
      </c>
      <c r="L20" s="3575" t="s">
        <v>2080</v>
      </c>
      <c r="M20" s="3568"/>
      <c r="N20" s="3571"/>
      <c r="O20" s="2519"/>
      <c r="P20" s="2342"/>
      <c r="Q20" s="1686"/>
      <c r="R20" s="1569"/>
      <c r="S20" s="930"/>
      <c r="T20" s="458"/>
      <c r="U20" s="2313"/>
    </row>
    <row r="21" spans="1:21" ht="12.5" x14ac:dyDescent="0.25">
      <c r="A21" s="2767"/>
      <c r="B21" s="3572"/>
      <c r="C21" s="1791"/>
      <c r="D21" s="1791"/>
      <c r="E21" s="2013"/>
      <c r="F21" s="1791"/>
      <c r="G21" s="2013" t="s">
        <v>2081</v>
      </c>
      <c r="H21" s="186"/>
      <c r="I21" s="3574"/>
      <c r="J21" s="3574"/>
      <c r="K21" s="3574"/>
      <c r="L21" s="3576"/>
      <c r="M21" s="3568"/>
      <c r="N21" s="3572"/>
      <c r="O21" s="2520"/>
      <c r="P21" s="2180"/>
      <c r="Q21" s="3580" t="s">
        <v>2070</v>
      </c>
      <c r="R21" s="1570"/>
      <c r="S21" s="931"/>
      <c r="T21" s="2179"/>
      <c r="U21" s="2314"/>
    </row>
    <row r="22" spans="1:21" ht="12.5" x14ac:dyDescent="0.25">
      <c r="A22" s="2768"/>
      <c r="B22" s="932"/>
      <c r="C22" s="1779" t="s">
        <v>346</v>
      </c>
      <c r="D22" s="1779" t="s">
        <v>346</v>
      </c>
      <c r="E22" s="1908" t="s">
        <v>346</v>
      </c>
      <c r="F22" s="1779" t="s">
        <v>346</v>
      </c>
      <c r="G22" s="1908" t="s">
        <v>346</v>
      </c>
      <c r="H22" s="183" t="s">
        <v>346</v>
      </c>
      <c r="I22" s="183" t="s">
        <v>170</v>
      </c>
      <c r="J22" s="183" t="s">
        <v>170</v>
      </c>
      <c r="K22" s="183" t="s">
        <v>170</v>
      </c>
      <c r="L22" s="2344" t="s">
        <v>170</v>
      </c>
      <c r="M22" s="3569"/>
      <c r="N22" s="932"/>
      <c r="O22" s="2344" t="s">
        <v>141</v>
      </c>
      <c r="P22" s="1687" t="s">
        <v>141</v>
      </c>
      <c r="Q22" s="3137"/>
      <c r="R22" s="1571" t="s">
        <v>347</v>
      </c>
      <c r="S22" s="467" t="s">
        <v>520</v>
      </c>
      <c r="T22" s="1737" t="s">
        <v>346</v>
      </c>
      <c r="U22" s="2315" t="s">
        <v>346</v>
      </c>
    </row>
    <row r="23" spans="1:21" ht="28.75" customHeight="1" thickTop="1" x14ac:dyDescent="0.35">
      <c r="A23" s="368" t="s">
        <v>680</v>
      </c>
      <c r="B23" s="1740" t="s">
        <v>2082</v>
      </c>
      <c r="C23" s="470"/>
      <c r="D23" s="470"/>
      <c r="E23" s="470"/>
      <c r="F23" s="470"/>
      <c r="G23" s="470"/>
      <c r="H23" s="470"/>
      <c r="I23" s="470"/>
      <c r="J23" s="470"/>
      <c r="K23" s="470"/>
      <c r="L23" s="470"/>
      <c r="M23" s="368" t="s">
        <v>680</v>
      </c>
      <c r="N23" s="1740" t="s">
        <v>2082</v>
      </c>
      <c r="O23" s="472"/>
      <c r="P23" s="470"/>
      <c r="Q23" s="470"/>
      <c r="R23" s="1572"/>
      <c r="S23" s="578"/>
      <c r="T23" s="1738"/>
      <c r="U23" s="1738"/>
    </row>
    <row r="24" spans="1:21" ht="28.75" customHeight="1" x14ac:dyDescent="0.35">
      <c r="A24" s="62">
        <f>A23+1</f>
        <v>2</v>
      </c>
      <c r="B24" s="1741" t="s">
        <v>2083</v>
      </c>
      <c r="C24" s="475"/>
      <c r="D24" s="475"/>
      <c r="E24" s="475"/>
      <c r="F24" s="475"/>
      <c r="G24" s="475"/>
      <c r="H24" s="475"/>
      <c r="I24" s="475"/>
      <c r="J24" s="475"/>
      <c r="K24" s="475"/>
      <c r="L24" s="475"/>
      <c r="M24" s="62">
        <f>M23+1</f>
        <v>2</v>
      </c>
      <c r="N24" s="1741" t="s">
        <v>2083</v>
      </c>
      <c r="O24" s="477"/>
      <c r="P24" s="481"/>
      <c r="Q24" s="481"/>
      <c r="R24" s="1573"/>
      <c r="S24" s="140"/>
      <c r="T24" s="1739"/>
      <c r="U24" s="1739"/>
    </row>
    <row r="25" spans="1:21" ht="28.75" customHeight="1" x14ac:dyDescent="0.35">
      <c r="A25" s="62">
        <f t="shared" ref="A25:A30" si="1">A24+1</f>
        <v>3</v>
      </c>
      <c r="B25" s="1741" t="s">
        <v>2084</v>
      </c>
      <c r="C25" s="475"/>
      <c r="D25" s="475"/>
      <c r="E25" s="475"/>
      <c r="F25" s="475"/>
      <c r="G25" s="475"/>
      <c r="H25" s="475"/>
      <c r="I25" s="475"/>
      <c r="J25" s="475"/>
      <c r="K25" s="475"/>
      <c r="L25" s="475"/>
      <c r="M25" s="62">
        <f t="shared" ref="M25:M30" si="2">M24+1</f>
        <v>3</v>
      </c>
      <c r="N25" s="1741" t="s">
        <v>2084</v>
      </c>
      <c r="O25" s="475"/>
      <c r="P25" s="475"/>
      <c r="Q25" s="475"/>
      <c r="R25" s="476"/>
      <c r="S25" s="140"/>
      <c r="T25" s="475"/>
      <c r="U25" s="475"/>
    </row>
    <row r="26" spans="1:21" ht="28.75" customHeight="1" x14ac:dyDescent="0.35">
      <c r="A26" s="62">
        <f t="shared" si="1"/>
        <v>4</v>
      </c>
      <c r="B26" s="1741" t="s">
        <v>2085</v>
      </c>
      <c r="C26" s="481"/>
      <c r="D26" s="481"/>
      <c r="E26" s="481"/>
      <c r="F26" s="481"/>
      <c r="G26" s="481"/>
      <c r="H26" s="481"/>
      <c r="I26" s="481"/>
      <c r="J26" s="481"/>
      <c r="K26" s="481"/>
      <c r="L26" s="481"/>
      <c r="M26" s="62">
        <f t="shared" si="2"/>
        <v>4</v>
      </c>
      <c r="N26" s="1741" t="s">
        <v>2085</v>
      </c>
      <c r="O26" s="481"/>
      <c r="P26" s="481"/>
      <c r="Q26" s="481"/>
      <c r="R26" s="478"/>
      <c r="S26" s="140"/>
      <c r="T26" s="481"/>
      <c r="U26" s="481"/>
    </row>
    <row r="27" spans="1:21" ht="28.75" customHeight="1" x14ac:dyDescent="0.35">
      <c r="A27" s="62">
        <f t="shared" si="1"/>
        <v>5</v>
      </c>
      <c r="B27" s="1742" t="s">
        <v>2086</v>
      </c>
      <c r="C27" s="470"/>
      <c r="D27" s="470"/>
      <c r="E27" s="470"/>
      <c r="F27" s="470"/>
      <c r="G27" s="470"/>
      <c r="H27" s="470"/>
      <c r="I27" s="470"/>
      <c r="J27" s="470"/>
      <c r="K27" s="470"/>
      <c r="L27" s="470"/>
      <c r="M27" s="62">
        <f t="shared" si="2"/>
        <v>5</v>
      </c>
      <c r="N27" s="1742" t="s">
        <v>2086</v>
      </c>
      <c r="O27" s="470"/>
      <c r="P27" s="470"/>
      <c r="Q27" s="470"/>
      <c r="R27" s="471"/>
      <c r="S27" s="140"/>
      <c r="T27" s="470"/>
      <c r="U27" s="470"/>
    </row>
    <row r="28" spans="1:21" ht="28.75" customHeight="1" x14ac:dyDescent="0.35">
      <c r="A28" s="62">
        <f t="shared" si="1"/>
        <v>6</v>
      </c>
      <c r="B28" s="1743" t="s">
        <v>2087</v>
      </c>
      <c r="C28" s="475"/>
      <c r="D28" s="475"/>
      <c r="E28" s="475"/>
      <c r="F28" s="475"/>
      <c r="G28" s="475"/>
      <c r="H28" s="475"/>
      <c r="I28" s="475"/>
      <c r="J28" s="475"/>
      <c r="K28" s="475"/>
      <c r="L28" s="475"/>
      <c r="M28" s="62">
        <f t="shared" si="2"/>
        <v>6</v>
      </c>
      <c r="N28" s="1743" t="s">
        <v>2087</v>
      </c>
      <c r="O28" s="475"/>
      <c r="P28" s="475"/>
      <c r="Q28" s="475"/>
      <c r="R28" s="476"/>
      <c r="S28" s="140"/>
      <c r="T28" s="475"/>
      <c r="U28" s="475"/>
    </row>
    <row r="29" spans="1:21" s="259" customFormat="1" ht="28.75" customHeight="1" x14ac:dyDescent="0.35">
      <c r="A29" s="62">
        <f t="shared" si="1"/>
        <v>7</v>
      </c>
      <c r="B29" s="1742" t="s">
        <v>2088</v>
      </c>
      <c r="C29" s="951"/>
      <c r="D29" s="951"/>
      <c r="E29" s="951"/>
      <c r="F29" s="951"/>
      <c r="G29" s="951"/>
      <c r="H29" s="951"/>
      <c r="I29" s="951"/>
      <c r="J29" s="951"/>
      <c r="K29" s="951"/>
      <c r="L29" s="951"/>
      <c r="M29" s="62">
        <f t="shared" si="2"/>
        <v>7</v>
      </c>
      <c r="N29" s="1742" t="s">
        <v>2088</v>
      </c>
      <c r="O29" s="951"/>
      <c r="P29" s="951"/>
      <c r="Q29" s="951"/>
      <c r="R29" s="976"/>
      <c r="S29" s="973"/>
      <c r="T29" s="951"/>
      <c r="U29" s="951"/>
    </row>
    <row r="30" spans="1:21" ht="28.75" customHeight="1" x14ac:dyDescent="0.35">
      <c r="A30" s="62">
        <f t="shared" si="1"/>
        <v>8</v>
      </c>
      <c r="B30" s="1742" t="s">
        <v>2089</v>
      </c>
      <c r="C30" s="481"/>
      <c r="D30" s="481"/>
      <c r="E30" s="481"/>
      <c r="F30" s="481"/>
      <c r="G30" s="481"/>
      <c r="H30" s="481"/>
      <c r="I30" s="481"/>
      <c r="J30" s="481"/>
      <c r="K30" s="481"/>
      <c r="L30" s="481"/>
      <c r="M30" s="62">
        <f t="shared" si="2"/>
        <v>8</v>
      </c>
      <c r="N30" s="1742" t="s">
        <v>2089</v>
      </c>
      <c r="O30" s="481"/>
      <c r="P30" s="481"/>
      <c r="Q30" s="481"/>
      <c r="R30" s="478"/>
      <c r="S30" s="140"/>
      <c r="T30" s="481"/>
      <c r="U30" s="481"/>
    </row>
    <row r="31" spans="1:21" ht="28.75" customHeight="1" x14ac:dyDescent="0.35">
      <c r="A31" s="62">
        <f>A30+1</f>
        <v>9</v>
      </c>
      <c r="B31" s="1742" t="s">
        <v>2090</v>
      </c>
      <c r="C31" s="481"/>
      <c r="D31" s="481"/>
      <c r="E31" s="481"/>
      <c r="F31" s="481"/>
      <c r="G31" s="481"/>
      <c r="H31" s="481"/>
      <c r="I31" s="481"/>
      <c r="J31" s="481"/>
      <c r="K31" s="481"/>
      <c r="L31" s="481"/>
      <c r="M31" s="62">
        <f>M30+1</f>
        <v>9</v>
      </c>
      <c r="N31" s="1742" t="s">
        <v>2090</v>
      </c>
      <c r="O31" s="481"/>
      <c r="P31" s="481"/>
      <c r="Q31" s="481"/>
      <c r="R31" s="478"/>
      <c r="S31" s="140"/>
      <c r="T31" s="481"/>
      <c r="U31" s="481"/>
    </row>
    <row r="32" spans="1:21" ht="28.75" customHeight="1" x14ac:dyDescent="0.35">
      <c r="A32" s="62">
        <v>10</v>
      </c>
      <c r="B32" s="1742" t="s">
        <v>2091</v>
      </c>
      <c r="C32" s="481"/>
      <c r="D32" s="481"/>
      <c r="E32" s="481"/>
      <c r="F32" s="481"/>
      <c r="G32" s="481"/>
      <c r="H32" s="481"/>
      <c r="I32" s="481"/>
      <c r="J32" s="481"/>
      <c r="K32" s="481"/>
      <c r="L32" s="481"/>
      <c r="M32" s="62">
        <v>10</v>
      </c>
      <c r="N32" s="1742" t="s">
        <v>2091</v>
      </c>
      <c r="O32" s="481"/>
      <c r="P32" s="481"/>
      <c r="Q32" s="481"/>
      <c r="R32" s="478"/>
      <c r="S32" s="140"/>
      <c r="T32" s="481"/>
      <c r="U32" s="481"/>
    </row>
    <row r="33" spans="1:21" ht="28.75" customHeight="1" x14ac:dyDescent="0.35">
      <c r="A33" s="62">
        <v>11</v>
      </c>
      <c r="B33" s="1741" t="s">
        <v>2092</v>
      </c>
      <c r="C33" s="481"/>
      <c r="D33" s="481"/>
      <c r="E33" s="481"/>
      <c r="F33" s="481"/>
      <c r="G33" s="481"/>
      <c r="H33" s="481"/>
      <c r="I33" s="481"/>
      <c r="J33" s="481"/>
      <c r="K33" s="481"/>
      <c r="L33" s="481"/>
      <c r="M33" s="62">
        <v>11</v>
      </c>
      <c r="N33" s="1741" t="s">
        <v>2092</v>
      </c>
      <c r="O33" s="481"/>
      <c r="P33" s="481"/>
      <c r="Q33" s="481"/>
      <c r="R33" s="478"/>
      <c r="S33" s="140"/>
      <c r="T33" s="481"/>
      <c r="U33" s="481"/>
    </row>
    <row r="35" spans="1:21" x14ac:dyDescent="0.35">
      <c r="B35" s="933"/>
      <c r="N35" s="933"/>
    </row>
  </sheetData>
  <mergeCells count="33">
    <mergeCell ref="I4:K4"/>
    <mergeCell ref="R4:S4"/>
    <mergeCell ref="O5:O15"/>
    <mergeCell ref="P5:Q13"/>
    <mergeCell ref="Q21:Q22"/>
    <mergeCell ref="P14:Q14"/>
    <mergeCell ref="I10:L12"/>
    <mergeCell ref="A5:A22"/>
    <mergeCell ref="F5:F13"/>
    <mergeCell ref="H5:H13"/>
    <mergeCell ref="B11:B15"/>
    <mergeCell ref="I5:L8"/>
    <mergeCell ref="F17:F18"/>
    <mergeCell ref="I20:I21"/>
    <mergeCell ref="J20:J21"/>
    <mergeCell ref="K20:K21"/>
    <mergeCell ref="L20:L21"/>
    <mergeCell ref="B17:B21"/>
    <mergeCell ref="C5:C13"/>
    <mergeCell ref="C17:C18"/>
    <mergeCell ref="E11:E20"/>
    <mergeCell ref="T5:T13"/>
    <mergeCell ref="T15:T16"/>
    <mergeCell ref="U5:U10"/>
    <mergeCell ref="D5:D13"/>
    <mergeCell ref="E5:E10"/>
    <mergeCell ref="G5:G11"/>
    <mergeCell ref="P16:Q16"/>
    <mergeCell ref="R5:S17"/>
    <mergeCell ref="G12:G20"/>
    <mergeCell ref="M5:M22"/>
    <mergeCell ref="N11:N15"/>
    <mergeCell ref="N17:N21"/>
  </mergeCells>
  <pageMargins left="0.314" right="0.314" top="0.11799999999999999" bottom="0.27500000000000002" header="0.157" footer="0.11799999999999999"/>
  <pageSetup scale="83" firstPageNumber="64" orientation="landscape" r:id="rId1"/>
  <headerFooter>
    <oddFooter>&amp;C&amp;P</oddFooter>
  </headerFooter>
  <colBreaks count="1" manualBreakCount="1">
    <brk id="12" max="1048575"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P34"/>
  <sheetViews>
    <sheetView view="pageBreakPreview" topLeftCell="W1" zoomScale="120" zoomScaleNormal="120" zoomScaleSheetLayoutView="120" zoomScalePageLayoutView="110" workbookViewId="0">
      <selection activeCell="AB6" sqref="AB6:AC17"/>
    </sheetView>
  </sheetViews>
  <sheetFormatPr defaultColWidth="8.81640625" defaultRowHeight="12.5" x14ac:dyDescent="0.25"/>
  <cols>
    <col min="1" max="1" width="3.453125" bestFit="1" customWidth="1"/>
    <col min="2" max="2" width="51.1796875" customWidth="1"/>
    <col min="3" max="4" width="9.7265625" customWidth="1"/>
    <col min="5" max="5" width="9.453125" style="10" customWidth="1"/>
    <col min="6" max="6" width="15.7265625" style="70" customWidth="1"/>
    <col min="7" max="7" width="11.1796875" style="70" customWidth="1"/>
    <col min="8" max="8" width="9.7265625" style="70" customWidth="1"/>
    <col min="9" max="9" width="16.453125" style="70" customWidth="1"/>
    <col min="10" max="10" width="11.1796875" style="70" customWidth="1"/>
    <col min="11" max="11" width="18.7265625" style="70" customWidth="1"/>
    <col min="12" max="12" width="6.1796875" style="70" customWidth="1"/>
    <col min="13" max="13" width="18.81640625" style="70" customWidth="1"/>
    <col min="14" max="14" width="11.1796875" style="70" customWidth="1"/>
    <col min="15" max="15" width="10.7265625" style="70" customWidth="1"/>
    <col min="16" max="16" width="15" style="70" customWidth="1"/>
    <col min="17" max="18" width="10.453125" style="70" customWidth="1"/>
    <col min="19" max="20" width="12.453125" style="70" customWidth="1"/>
    <col min="21" max="21" width="14.7265625" style="70" customWidth="1"/>
    <col min="22" max="22" width="10" style="70" customWidth="1"/>
    <col min="23" max="23" width="10.81640625" style="70" customWidth="1"/>
    <col min="24" max="24" width="8.81640625" style="70" customWidth="1"/>
    <col min="25" max="25" width="8.453125" style="70" customWidth="1"/>
    <col min="26" max="26" width="12.1796875" customWidth="1"/>
    <col min="27" max="27" width="15.7265625" customWidth="1"/>
    <col min="28" max="29" width="10.7265625" customWidth="1"/>
    <col min="30" max="30" width="12.1796875" customWidth="1"/>
    <col min="31" max="31" width="8" customWidth="1"/>
    <col min="32" max="32" width="12" customWidth="1"/>
    <col min="33" max="33" width="9.1796875" customWidth="1"/>
    <col min="34" max="34" width="7.7265625" bestFit="1" customWidth="1"/>
    <col min="35" max="35" width="5.453125" bestFit="1" customWidth="1"/>
    <col min="36" max="36" width="7.7265625" bestFit="1" customWidth="1"/>
    <col min="37" max="37" width="5.453125" bestFit="1" customWidth="1"/>
    <col min="38" max="38" width="7.7265625" bestFit="1" customWidth="1"/>
    <col min="39" max="39" width="5.453125" bestFit="1" customWidth="1"/>
    <col min="40" max="40" width="8.7265625" customWidth="1"/>
    <col min="41" max="41" width="5.453125" bestFit="1" customWidth="1"/>
    <col min="42" max="50" width="14" customWidth="1"/>
    <col min="51" max="51" width="14" style="850" customWidth="1"/>
    <col min="52" max="67" width="7.1796875" style="259" customWidth="1"/>
    <col min="68" max="68" width="14" style="850" customWidth="1"/>
    <col min="69" max="84" width="7.1796875" style="10" customWidth="1"/>
    <col min="85" max="85" width="14" style="850" customWidth="1"/>
    <col min="86" max="101" width="7.1796875" style="259" customWidth="1"/>
    <col min="102" max="102" width="13" style="974" customWidth="1"/>
    <col min="103" max="104" width="7.1796875" style="259" customWidth="1"/>
    <col min="105" max="105" width="13.7265625" style="259" customWidth="1"/>
    <col min="106" max="107" width="7.1796875" style="259" customWidth="1"/>
    <col min="108" max="108" width="13.7265625" style="259" customWidth="1"/>
    <col min="109" max="110" width="7.1796875" style="259" customWidth="1"/>
    <col min="111" max="111" width="13.7265625" style="259" customWidth="1"/>
    <col min="112" max="113" width="7.1796875" style="259" customWidth="1"/>
    <col min="114" max="114" width="13.7265625" style="259" customWidth="1"/>
    <col min="115" max="115" width="14" style="974" customWidth="1"/>
    <col min="116" max="117" width="7.1796875" style="259" customWidth="1"/>
    <col min="118" max="118" width="13.7265625" style="259" customWidth="1"/>
    <col min="119" max="120" width="7.1796875" style="259" customWidth="1"/>
    <col min="121" max="121" width="13.7265625" style="259" customWidth="1"/>
    <col min="122" max="123" width="7.1796875" style="259" customWidth="1"/>
    <col min="124" max="124" width="13.7265625" style="259" customWidth="1"/>
    <col min="125" max="126" width="7.1796875" style="259" customWidth="1"/>
    <col min="127" max="127" width="13.7265625" style="259" customWidth="1"/>
    <col min="128" max="128" width="12.453125" style="974" customWidth="1"/>
    <col min="129" max="130" width="7.1796875" style="259" customWidth="1"/>
    <col min="131" max="131" width="13.7265625" style="259" customWidth="1"/>
    <col min="132" max="133" width="7.1796875" style="259" customWidth="1"/>
    <col min="134" max="134" width="13.7265625" style="259" customWidth="1"/>
    <col min="135" max="136" width="7.1796875" style="259" customWidth="1"/>
    <col min="137" max="137" width="13.7265625" style="259" customWidth="1"/>
    <col min="138" max="139" width="7.1796875" style="259" customWidth="1"/>
    <col min="140" max="140" width="13.7265625" style="259" customWidth="1"/>
    <col min="141" max="141" width="16" customWidth="1"/>
    <col min="142" max="142" width="15.1796875" style="70" customWidth="1"/>
    <col min="143" max="144" width="19.453125" style="70" customWidth="1"/>
    <col min="145" max="146" width="15.1796875" style="70" customWidth="1"/>
  </cols>
  <sheetData>
    <row r="1" spans="1:146" ht="13" x14ac:dyDescent="0.3">
      <c r="B1" s="103" t="s">
        <v>2093</v>
      </c>
      <c r="C1" s="103"/>
      <c r="D1" s="103"/>
      <c r="E1" s="798" t="s">
        <v>2094</v>
      </c>
      <c r="O1" s="1023" t="s">
        <v>2094</v>
      </c>
      <c r="V1" s="103"/>
      <c r="W1" s="103"/>
      <c r="X1" s="103"/>
      <c r="Z1" s="1023" t="s">
        <v>2094</v>
      </c>
      <c r="AD1" s="103"/>
      <c r="AE1" s="103"/>
      <c r="AF1" s="103"/>
      <c r="AG1" s="103"/>
      <c r="AP1" s="3637" t="s">
        <v>2094</v>
      </c>
      <c r="AQ1" s="3637"/>
      <c r="AR1" s="3637"/>
      <c r="AS1" s="3637"/>
      <c r="AY1" s="3637" t="s">
        <v>2094</v>
      </c>
      <c r="AZ1" s="3637"/>
      <c r="BA1" s="3637"/>
      <c r="BB1" s="3637"/>
      <c r="BP1" s="3637" t="s">
        <v>2094</v>
      </c>
      <c r="BQ1" s="3637"/>
      <c r="BR1" s="3637"/>
      <c r="BS1" s="3637"/>
      <c r="CG1" s="3637" t="s">
        <v>2094</v>
      </c>
      <c r="CH1" s="3637"/>
      <c r="CI1" s="3637"/>
      <c r="CJ1" s="3637"/>
      <c r="CX1" s="3637" t="s">
        <v>2094</v>
      </c>
      <c r="CY1" s="3637"/>
      <c r="CZ1" s="3637"/>
      <c r="DA1" s="3637"/>
      <c r="DB1" s="10"/>
      <c r="DC1" s="10"/>
      <c r="DD1" s="10"/>
      <c r="DE1" s="10"/>
      <c r="DF1" s="10"/>
      <c r="DG1" s="10"/>
      <c r="DH1" s="10"/>
      <c r="DI1" s="10"/>
      <c r="DJ1" s="10"/>
      <c r="DK1" s="3637" t="s">
        <v>2094</v>
      </c>
      <c r="DL1" s="3637"/>
      <c r="DM1" s="3637"/>
      <c r="DN1" s="3637"/>
      <c r="DO1" s="10"/>
      <c r="DP1" s="10"/>
      <c r="DQ1" s="10"/>
      <c r="DR1" s="10"/>
      <c r="DS1" s="10"/>
      <c r="DT1" s="10"/>
      <c r="DU1" s="10"/>
      <c r="DV1" s="10"/>
      <c r="DW1" s="10"/>
      <c r="DX1" s="3637" t="s">
        <v>2094</v>
      </c>
      <c r="DY1" s="3637"/>
      <c r="DZ1" s="3637"/>
      <c r="EA1" s="3637"/>
      <c r="EB1" s="10"/>
      <c r="EC1" s="10"/>
      <c r="ED1" s="10"/>
      <c r="EE1" s="10"/>
      <c r="EF1" s="10"/>
      <c r="EG1" s="10"/>
      <c r="EH1" s="10"/>
      <c r="EI1" s="10"/>
      <c r="EJ1" s="10"/>
      <c r="EK1" s="3637" t="s">
        <v>2094</v>
      </c>
      <c r="EL1" s="3637"/>
      <c r="EM1" s="3637"/>
      <c r="EN1" s="3637"/>
    </row>
    <row r="2" spans="1:146" ht="13" x14ac:dyDescent="0.3">
      <c r="B2" s="3641" t="str">
        <f>CONCATENATE("(16A.00) Est-ce qu'au moins un membre du ménage a cultivé des terres (y compris les cultures pérennes), lui appartenant ou non, au cours de la campagne hivernale ",Variables!C4, "?")</f>
        <v>(16A.00) Est-ce qu'au moins un membre du ménage a cultivé des terres (y compris les cultures pérennes), lui appartenant ou non, au cours de la campagne hivernale 2021/2022?</v>
      </c>
      <c r="C2" s="103"/>
      <c r="D2" s="103"/>
      <c r="E2" s="798" t="s">
        <v>2095</v>
      </c>
      <c r="O2" s="1023" t="s">
        <v>2095</v>
      </c>
      <c r="V2" s="103"/>
      <c r="W2" s="103"/>
      <c r="X2" s="103"/>
      <c r="Z2" s="1023" t="s">
        <v>2095</v>
      </c>
      <c r="AD2" s="103"/>
      <c r="AE2" s="103"/>
      <c r="AF2" s="103"/>
      <c r="AG2" s="103"/>
      <c r="AP2" s="3637" t="s">
        <v>2095</v>
      </c>
      <c r="AQ2" s="3637"/>
      <c r="AR2" s="3637"/>
      <c r="AS2" s="3637"/>
      <c r="AY2" s="3637" t="s">
        <v>2095</v>
      </c>
      <c r="AZ2" s="3637"/>
      <c r="BA2" s="3637"/>
      <c r="BB2" s="3637"/>
      <c r="BP2" s="3637" t="s">
        <v>2095</v>
      </c>
      <c r="BQ2" s="3637"/>
      <c r="BR2" s="3637"/>
      <c r="BS2" s="3637"/>
      <c r="CG2" s="3637" t="s">
        <v>2095</v>
      </c>
      <c r="CH2" s="3637"/>
      <c r="CI2" s="3637"/>
      <c r="CJ2" s="3637"/>
      <c r="CX2" s="3637" t="s">
        <v>2095</v>
      </c>
      <c r="CY2" s="3637"/>
      <c r="CZ2" s="3637"/>
      <c r="DA2" s="3637"/>
      <c r="DB2" s="10"/>
      <c r="DC2" s="10"/>
      <c r="DD2" s="10"/>
      <c r="DE2" s="10"/>
      <c r="DF2" s="10"/>
      <c r="DG2" s="10"/>
      <c r="DH2" s="10"/>
      <c r="DI2" s="10"/>
      <c r="DJ2" s="10"/>
      <c r="DK2" s="3637" t="s">
        <v>2095</v>
      </c>
      <c r="DL2" s="3637"/>
      <c r="DM2" s="3637"/>
      <c r="DN2" s="3637"/>
      <c r="DO2" s="10"/>
      <c r="DP2" s="10"/>
      <c r="DQ2" s="10"/>
      <c r="DR2" s="10"/>
      <c r="DS2" s="10"/>
      <c r="DT2" s="10"/>
      <c r="DU2" s="10"/>
      <c r="DV2" s="10"/>
      <c r="DW2" s="10"/>
      <c r="DX2" s="3637" t="s">
        <v>2095</v>
      </c>
      <c r="DY2" s="3637"/>
      <c r="DZ2" s="3637"/>
      <c r="EA2" s="3637"/>
      <c r="EB2" s="10"/>
      <c r="EC2" s="10"/>
      <c r="ED2" s="10"/>
      <c r="EE2" s="10"/>
      <c r="EF2" s="10"/>
      <c r="EG2" s="10"/>
      <c r="EH2" s="10"/>
      <c r="EI2" s="10"/>
      <c r="EJ2" s="10"/>
      <c r="EK2" s="3637" t="s">
        <v>2095</v>
      </c>
      <c r="EL2" s="3637"/>
      <c r="EM2" s="3637"/>
      <c r="EN2" s="3637"/>
    </row>
    <row r="3" spans="1:146" ht="27" customHeight="1" x14ac:dyDescent="0.25">
      <c r="B3" s="3641"/>
      <c r="C3" s="3588" t="s">
        <v>2096</v>
      </c>
      <c r="D3" s="3588"/>
      <c r="E3" s="3642"/>
      <c r="F3" s="3642"/>
      <c r="G3" s="3642"/>
      <c r="H3" s="3642"/>
      <c r="I3" s="3642"/>
      <c r="J3" s="3642"/>
      <c r="K3" s="3642"/>
      <c r="CX3" s="1026"/>
      <c r="CY3" s="10"/>
      <c r="CZ3" s="10"/>
      <c r="DA3" s="10"/>
      <c r="DB3" s="10"/>
      <c r="DC3" s="10"/>
      <c r="DD3" s="10"/>
      <c r="DE3" s="10"/>
      <c r="DF3" s="10"/>
      <c r="DG3" s="10"/>
      <c r="DH3" s="10"/>
      <c r="DI3" s="10"/>
      <c r="DJ3" s="10"/>
      <c r="DK3" s="1026"/>
      <c r="DL3" s="10"/>
      <c r="DM3" s="10"/>
      <c r="DN3" s="10"/>
      <c r="DO3" s="10"/>
      <c r="DP3" s="10"/>
      <c r="DQ3" s="10"/>
      <c r="DR3" s="10"/>
      <c r="DS3" s="10"/>
      <c r="DT3" s="10"/>
      <c r="DU3" s="10"/>
      <c r="DV3" s="10"/>
      <c r="DW3" s="10"/>
      <c r="DX3" s="1026"/>
      <c r="DY3" s="10"/>
      <c r="DZ3" s="10"/>
      <c r="EA3" s="10"/>
      <c r="EB3" s="10"/>
      <c r="EC3" s="10"/>
      <c r="ED3" s="10"/>
      <c r="EE3" s="10"/>
      <c r="EF3" s="10"/>
      <c r="EG3" s="10"/>
      <c r="EH3" s="10"/>
      <c r="EI3" s="10"/>
      <c r="EJ3" s="10"/>
    </row>
    <row r="4" spans="1:146" ht="13" x14ac:dyDescent="0.3">
      <c r="C4" s="70"/>
      <c r="AY4" s="2521"/>
      <c r="BP4" s="2521"/>
      <c r="CG4" s="2521"/>
      <c r="CX4" s="2521"/>
      <c r="CY4" s="10"/>
      <c r="CZ4" s="10"/>
      <c r="DA4" s="10"/>
      <c r="DB4" s="10"/>
      <c r="DC4" s="10"/>
      <c r="DD4" s="10"/>
      <c r="DE4" s="10"/>
      <c r="DF4" s="10"/>
      <c r="DG4" s="10"/>
      <c r="DH4" s="10"/>
      <c r="DI4" s="10"/>
      <c r="DJ4" s="10"/>
      <c r="DK4" s="2521"/>
      <c r="DL4" s="10"/>
      <c r="DM4" s="10"/>
      <c r="DN4" s="10"/>
      <c r="DO4" s="10"/>
      <c r="DP4" s="10"/>
      <c r="DQ4" s="10"/>
      <c r="DR4" s="10"/>
      <c r="DS4" s="10"/>
      <c r="DT4" s="10"/>
      <c r="DU4" s="10"/>
      <c r="DV4" s="10"/>
      <c r="DW4" s="10"/>
      <c r="DX4" s="2521"/>
      <c r="DY4" s="10"/>
      <c r="DZ4" s="10"/>
      <c r="EA4" s="10"/>
      <c r="EB4" s="10"/>
      <c r="EC4" s="10"/>
      <c r="ED4" s="10"/>
      <c r="EE4" s="10"/>
      <c r="EF4" s="10"/>
      <c r="EG4" s="10"/>
      <c r="EH4" s="10"/>
      <c r="EI4" s="10"/>
      <c r="EJ4" s="10"/>
    </row>
    <row r="5" spans="1:146" x14ac:dyDescent="0.25">
      <c r="A5" s="3589" t="s">
        <v>2097</v>
      </c>
      <c r="B5" s="851" t="s">
        <v>2098</v>
      </c>
      <c r="C5" s="851" t="s">
        <v>2099</v>
      </c>
      <c r="D5" s="851" t="s">
        <v>2100</v>
      </c>
      <c r="E5" s="851" t="s">
        <v>2101</v>
      </c>
      <c r="F5" s="851" t="s">
        <v>2102</v>
      </c>
      <c r="G5" s="2538" t="s">
        <v>2103</v>
      </c>
      <c r="H5" s="2530" t="s">
        <v>2104</v>
      </c>
      <c r="I5" s="3608" t="s">
        <v>2105</v>
      </c>
      <c r="J5" s="3608"/>
      <c r="K5" s="3598" t="s">
        <v>2106</v>
      </c>
      <c r="L5" s="3599"/>
      <c r="M5" s="852" t="s">
        <v>2107</v>
      </c>
      <c r="N5" s="2526" t="s">
        <v>2108</v>
      </c>
      <c r="O5" s="852" t="s">
        <v>2109</v>
      </c>
      <c r="P5" s="852" t="s">
        <v>2110</v>
      </c>
      <c r="Q5" s="3603" t="s">
        <v>2111</v>
      </c>
      <c r="R5" s="3604"/>
      <c r="S5" s="852" t="s">
        <v>2112</v>
      </c>
      <c r="T5" s="852" t="s">
        <v>2113</v>
      </c>
      <c r="U5" s="2532" t="s">
        <v>2114</v>
      </c>
      <c r="V5" s="2532" t="s">
        <v>2115</v>
      </c>
      <c r="W5" s="2532" t="s">
        <v>2116</v>
      </c>
      <c r="X5" s="2532" t="s">
        <v>2117</v>
      </c>
      <c r="Y5" s="2532" t="s">
        <v>2118</v>
      </c>
      <c r="Z5" s="853" t="s">
        <v>2119</v>
      </c>
      <c r="AA5" s="2532" t="s">
        <v>2120</v>
      </c>
      <c r="AB5" s="3609" t="s">
        <v>2121</v>
      </c>
      <c r="AC5" s="3609"/>
      <c r="AD5" s="2531" t="s">
        <v>2122</v>
      </c>
      <c r="AE5" s="854" t="s">
        <v>2123</v>
      </c>
      <c r="AF5" s="2530" t="s">
        <v>2124</v>
      </c>
      <c r="AG5" s="854" t="s">
        <v>2125</v>
      </c>
      <c r="AH5" s="3609" t="s">
        <v>2126</v>
      </c>
      <c r="AI5" s="3609"/>
      <c r="AJ5" s="3609"/>
      <c r="AK5" s="3609"/>
      <c r="AL5" s="3609"/>
      <c r="AM5" s="3609"/>
      <c r="AN5" s="3609"/>
      <c r="AO5" s="3609"/>
      <c r="AP5" s="2530" t="s">
        <v>2127</v>
      </c>
      <c r="AQ5" s="3609" t="s">
        <v>2128</v>
      </c>
      <c r="AR5" s="3609"/>
      <c r="AS5" s="3609"/>
      <c r="AT5" s="3609"/>
      <c r="AU5" s="3609"/>
      <c r="AV5" s="3609"/>
      <c r="AW5" s="3609"/>
      <c r="AX5" s="3609"/>
      <c r="AY5" s="2530" t="s">
        <v>2129</v>
      </c>
      <c r="AZ5" s="3605" t="s">
        <v>2130</v>
      </c>
      <c r="BA5" s="3606"/>
      <c r="BB5" s="3606"/>
      <c r="BC5" s="3606"/>
      <c r="BD5" s="3606"/>
      <c r="BE5" s="3606"/>
      <c r="BF5" s="3606"/>
      <c r="BG5" s="3606"/>
      <c r="BH5" s="3606"/>
      <c r="BI5" s="3606"/>
      <c r="BJ5" s="3606"/>
      <c r="BK5" s="3606"/>
      <c r="BL5" s="3606"/>
      <c r="BM5" s="3606"/>
      <c r="BN5" s="3606"/>
      <c r="BO5" s="3607"/>
      <c r="BP5" s="1702" t="s">
        <v>2131</v>
      </c>
      <c r="BQ5" s="3605" t="s">
        <v>2132</v>
      </c>
      <c r="BR5" s="3606"/>
      <c r="BS5" s="3606"/>
      <c r="BT5" s="3606"/>
      <c r="BU5" s="3606"/>
      <c r="BV5" s="3606"/>
      <c r="BW5" s="3606"/>
      <c r="BX5" s="3606"/>
      <c r="BY5" s="3606"/>
      <c r="BZ5" s="3606"/>
      <c r="CA5" s="3606"/>
      <c r="CB5" s="3606"/>
      <c r="CC5" s="3606"/>
      <c r="CD5" s="3606"/>
      <c r="CE5" s="3606"/>
      <c r="CF5" s="3607"/>
      <c r="CG5" s="1702" t="s">
        <v>2133</v>
      </c>
      <c r="CH5" s="3605" t="s">
        <v>2134</v>
      </c>
      <c r="CI5" s="3606"/>
      <c r="CJ5" s="3606"/>
      <c r="CK5" s="3606"/>
      <c r="CL5" s="3606"/>
      <c r="CM5" s="3606"/>
      <c r="CN5" s="3606"/>
      <c r="CO5" s="3606"/>
      <c r="CP5" s="3606"/>
      <c r="CQ5" s="3606"/>
      <c r="CR5" s="3606"/>
      <c r="CS5" s="3606"/>
      <c r="CT5" s="3606"/>
      <c r="CU5" s="3606"/>
      <c r="CV5" s="3606"/>
      <c r="CW5" s="3607"/>
      <c r="CX5" s="1702" t="s">
        <v>2135</v>
      </c>
      <c r="CY5" s="3605" t="s">
        <v>2136</v>
      </c>
      <c r="CZ5" s="3606"/>
      <c r="DA5" s="3606"/>
      <c r="DB5" s="3606"/>
      <c r="DC5" s="3606"/>
      <c r="DD5" s="3606"/>
      <c r="DE5" s="3606"/>
      <c r="DF5" s="3606"/>
      <c r="DG5" s="3606"/>
      <c r="DH5" s="3606"/>
      <c r="DI5" s="3606"/>
      <c r="DJ5" s="3607"/>
      <c r="DK5" s="1702" t="s">
        <v>2137</v>
      </c>
      <c r="DL5" s="3605" t="s">
        <v>2138</v>
      </c>
      <c r="DM5" s="3606"/>
      <c r="DN5" s="3606"/>
      <c r="DO5" s="3606"/>
      <c r="DP5" s="3606"/>
      <c r="DQ5" s="3606"/>
      <c r="DR5" s="3606"/>
      <c r="DS5" s="3606"/>
      <c r="DT5" s="3606"/>
      <c r="DU5" s="3606"/>
      <c r="DV5" s="3606"/>
      <c r="DW5" s="3607"/>
      <c r="DX5" s="1702" t="s">
        <v>2139</v>
      </c>
      <c r="DY5" s="3605" t="s">
        <v>2140</v>
      </c>
      <c r="DZ5" s="3606"/>
      <c r="EA5" s="3606"/>
      <c r="EB5" s="3606"/>
      <c r="EC5" s="3606"/>
      <c r="ED5" s="3606"/>
      <c r="EE5" s="3606"/>
      <c r="EF5" s="3606"/>
      <c r="EG5" s="3606"/>
      <c r="EH5" s="3606"/>
      <c r="EI5" s="3606"/>
      <c r="EJ5" s="3607"/>
      <c r="EK5" s="2530" t="s">
        <v>2141</v>
      </c>
      <c r="EL5" s="2526" t="s">
        <v>2142</v>
      </c>
      <c r="EM5" s="3608" t="s">
        <v>2143</v>
      </c>
      <c r="EN5" s="3608"/>
      <c r="EO5" s="2526" t="s">
        <v>2144</v>
      </c>
      <c r="EP5" s="2526" t="s">
        <v>2145</v>
      </c>
    </row>
    <row r="6" spans="1:146" ht="13.5" customHeight="1" x14ac:dyDescent="0.25">
      <c r="A6" s="3589"/>
      <c r="B6" s="1485" t="s">
        <v>171</v>
      </c>
      <c r="C6" s="3245" t="s">
        <v>2146</v>
      </c>
      <c r="D6" s="3220" t="s">
        <v>2147</v>
      </c>
      <c r="E6" s="3220" t="s">
        <v>2148</v>
      </c>
      <c r="F6" s="3220" t="str">
        <f>CONCATENATE("Quel est le mode de gestion de la parcelle? 
1=Individuelle 
2=Collective►",H5)</f>
        <v>Quel est le mode de gestion de la parcelle? 
1=Individuelle 
2=Collective►(16A.07)</v>
      </c>
      <c r="G6" s="3252" t="s">
        <v>2149</v>
      </c>
      <c r="H6" s="3600" t="str">
        <f>CONCATENATE("Combien de cultures y a--t-il sur cette parcelle pour la campagne ", Variables!C4, "?")</f>
        <v>Combien de cultures y a--t-il sur cette parcelle pour la campagne 2021/2022?</v>
      </c>
      <c r="I6" s="3593" t="str">
        <f>CONCATENATE("Quelle est la principale culture de cette parcelle au cours de la campagne ", Variables!C4, "?")</f>
        <v>Quelle est la principale culture de cette parcelle au cours de la campagne 2021/2022?</v>
      </c>
      <c r="J6" s="3601"/>
      <c r="K6" s="3240" t="s">
        <v>2150</v>
      </c>
      <c r="L6" s="3241"/>
      <c r="M6" s="3250" t="s">
        <v>2151</v>
      </c>
      <c r="N6" s="3220" t="s">
        <v>2152</v>
      </c>
      <c r="O6" s="3220" t="s">
        <v>2153</v>
      </c>
      <c r="P6" s="3220" t="str">
        <f>CONCATENATE("Avez-vous un document légal (titre, acte, certificat etc.) qui affirme votre possession de cette parcelle ?
1=Titre foncier
2=Permis d'exploiter
3=Procès-verbal
4=Bail
5=Convention de vente
6=Autre
7=Aucun ►",S5)</f>
        <v>Avez-vous un document légal (titre, acte, certificat etc.) qui affirme votre possession de cette parcelle ?
1=Titre foncier
2=Permis d'exploiter
3=Procès-verbal
4=Bail
5=Convention de vente
6=Autre
7=Aucun ►(16A.15)</v>
      </c>
      <c r="Q6" s="3240" t="s">
        <v>2154</v>
      </c>
      <c r="R6" s="3241"/>
      <c r="S6" s="3220" t="str">
        <f>CONCATENATE("Pensez vous qu'il y ait un risque de perdre les droits associés a cette parcelle au cours des 5 prochaines années?
1=Oui
2=Non ►",U5,)</f>
        <v>Pensez vous qu'il y ait un risque de perdre les droits associés a cette parcelle au cours des 5 prochaines années?
1=Oui
2=Non ►(16A.17)</v>
      </c>
      <c r="T6" s="3220" t="s">
        <v>2155</v>
      </c>
      <c r="U6" s="3220" t="s">
        <v>2156</v>
      </c>
      <c r="V6" s="3220" t="s">
        <v>2157</v>
      </c>
      <c r="W6" s="3220" t="s">
        <v>2158</v>
      </c>
      <c r="X6" s="3220" t="s">
        <v>2159</v>
      </c>
      <c r="Y6" s="3220" t="s">
        <v>2160</v>
      </c>
      <c r="Z6" s="3220" t="str">
        <f>CONCATENATE("Avez-vous utilisé des déchets d'animaux sur cette parcelle pendant la  campagne ",Variables!C4, " 
1=Oui
2=Non ►",AD5)</f>
        <v>Avez-vous utilisé des déchets d'animaux sur cette parcelle pendant la  campagne 2021/2022 
1=Oui
2=Non ►(16A.25)</v>
      </c>
      <c r="AA6" s="3220" t="s">
        <v>2161</v>
      </c>
      <c r="AB6" s="3625" t="s">
        <v>2162</v>
      </c>
      <c r="AC6" s="3626"/>
      <c r="AD6" s="3250" t="str">
        <f>CONCATENATE("Avez-vous utilisé des ordures ménagères et autres sur cette parcelle pendant la campagne ",Variables!C4, "?
1=Oui
2=Non►",AF5)</f>
        <v>Avez-vous utilisé des ordures ménagères et autres sur cette parcelle pendant la campagne 2021/2022?
1=Oui
2=Non►(16A.27)</v>
      </c>
      <c r="AE6" s="3220" t="s">
        <v>2163</v>
      </c>
      <c r="AF6" s="3593" t="str">
        <f>CONCATENATE("Avez-vous utilisé de l’engrais inorganique/ chimique sur cette parcelle pendant la campagne ",Variables!C4, "? 
1=Oui
2=Non►",AP5)</f>
        <v>Avez-vous utilisé de l’engrais inorganique/ chimique sur cette parcelle pendant la campagne 2021/2022? 
1=Oui
2=Non►(16A.30)</v>
      </c>
      <c r="AG6" s="3220" t="s">
        <v>2164</v>
      </c>
      <c r="AH6" s="3635" t="s">
        <v>2165</v>
      </c>
      <c r="AI6" s="3635"/>
      <c r="AJ6" s="3635"/>
      <c r="AK6" s="3635"/>
      <c r="AL6" s="3635"/>
      <c r="AM6" s="3635"/>
      <c r="AN6" s="3635"/>
      <c r="AO6" s="3635"/>
      <c r="AP6" s="3250" t="str">
        <f>CONCATENATE("Avez-vous utilisé des produits phytosanitaires sur cette parcelle pendant la campagne ",Variables!C4, "?
1=Oui
2=Non  ►",TEXT(AY5,"(0.00)"))</f>
        <v>Avez-vous utilisé des produits phytosanitaires sur cette parcelle pendant la campagne 2021/2022?
1=Oui
2=Non  ►(16A.32)</v>
      </c>
      <c r="AQ6" s="3636" t="s">
        <v>2166</v>
      </c>
      <c r="AR6" s="3636"/>
      <c r="AS6" s="3636"/>
      <c r="AT6" s="3636"/>
      <c r="AU6" s="3636"/>
      <c r="AV6" s="3636"/>
      <c r="AW6" s="3636"/>
      <c r="AX6" s="3636"/>
      <c r="AY6" s="3638" t="str">
        <f>CONCATENATE("Avez-vous utilisé de la main-d'oeuvre familiale sur cette parcelle au cours de la campagne ",Variables!C4, " pour la période de préparation du sol (labour) et des semis ?")</f>
        <v>Avez-vous utilisé de la main-d'oeuvre familiale sur cette parcelle au cours de la campagne 2021/2022 pour la période de préparation du sol (labour) et des semis ?</v>
      </c>
      <c r="AZ6" s="3223" t="s">
        <v>2167</v>
      </c>
      <c r="BA6" s="3223"/>
      <c r="BB6" s="3223"/>
      <c r="BC6" s="3223"/>
      <c r="BD6" s="3223"/>
      <c r="BE6" s="3223"/>
      <c r="BF6" s="3223"/>
      <c r="BG6" s="3223"/>
      <c r="BH6" s="3223"/>
      <c r="BI6" s="3223"/>
      <c r="BJ6" s="3223"/>
      <c r="BK6" s="3223"/>
      <c r="BL6" s="3223"/>
      <c r="BM6" s="3223"/>
      <c r="BN6" s="3223"/>
      <c r="BO6" s="3223"/>
      <c r="BP6" s="3250" t="str">
        <f>CONCATENATE("Avez-vous utilisé de la main-d'oeuvre familiale sur cette parcelle au cours de la campagne ", Variables!C4, " pour la période d'entretien du sol (sarclage, etc.)? ")</f>
        <v xml:space="preserve">Avez-vous utilisé de la main-d'oeuvre familiale sur cette parcelle au cours de la campagne 2021/2022 pour la période d'entretien du sol (sarclage, etc.)? </v>
      </c>
      <c r="BQ6" s="3223" t="s">
        <v>2168</v>
      </c>
      <c r="BR6" s="3223"/>
      <c r="BS6" s="3223"/>
      <c r="BT6" s="3223"/>
      <c r="BU6" s="3223"/>
      <c r="BV6" s="3223"/>
      <c r="BW6" s="3223"/>
      <c r="BX6" s="3223"/>
      <c r="BY6" s="3223"/>
      <c r="BZ6" s="3223"/>
      <c r="CA6" s="3223"/>
      <c r="CB6" s="3223"/>
      <c r="CC6" s="3223"/>
      <c r="CD6" s="3223"/>
      <c r="CE6" s="3223"/>
      <c r="CF6" s="3223"/>
      <c r="CG6" s="3250" t="str">
        <f>CONCATENATE("Avez-vous utilisé de la main-d'oeuvre familiale sur cette parcelle au cours de la campagne ",Variables!C4, " pour la période des récoltes ?")</f>
        <v>Avez-vous utilisé de la main-d'oeuvre familiale sur cette parcelle au cours de la campagne 2021/2022 pour la période des récoltes ?</v>
      </c>
      <c r="CH6" s="3223" t="s">
        <v>2169</v>
      </c>
      <c r="CI6" s="3223"/>
      <c r="CJ6" s="3223"/>
      <c r="CK6" s="3223"/>
      <c r="CL6" s="3223"/>
      <c r="CM6" s="3223"/>
      <c r="CN6" s="3223"/>
      <c r="CO6" s="3223"/>
      <c r="CP6" s="3223"/>
      <c r="CQ6" s="3223"/>
      <c r="CR6" s="3223"/>
      <c r="CS6" s="3223"/>
      <c r="CT6" s="3223"/>
      <c r="CU6" s="3223"/>
      <c r="CV6" s="3223"/>
      <c r="CW6" s="3223"/>
      <c r="CX6" s="3250" t="str">
        <f>CONCATENATE("Avez-vous utilisé de la main-d'oeuvre non-familiale sur cette parcelle au cours de la campagne ", Variables!C4, " pour la période de préparation du sol (labour) et des semis? ")</f>
        <v xml:space="preserve">Avez-vous utilisé de la main-d'oeuvre non-familiale sur cette parcelle au cours de la campagne 2021/2022 pour la période de préparation du sol (labour) et des semis? </v>
      </c>
      <c r="CY6" s="3223" t="s">
        <v>2170</v>
      </c>
      <c r="CZ6" s="3223"/>
      <c r="DA6" s="3223"/>
      <c r="DB6" s="3223"/>
      <c r="DC6" s="3223"/>
      <c r="DD6" s="3223"/>
      <c r="DE6" s="3223"/>
      <c r="DF6" s="3223"/>
      <c r="DG6" s="3223"/>
      <c r="DH6" s="3223"/>
      <c r="DI6" s="3223"/>
      <c r="DJ6" s="3223"/>
      <c r="DK6" s="3250" t="str">
        <f>CONCATENATE("Avez-vous utilisé de la main-d'oeuvre non-familiale sur cette parcelle au cours de la campagne ",Variables!C4, " pour la période d'entretien du sol (sarclage, etc.)? ")</f>
        <v xml:space="preserve">Avez-vous utilisé de la main-d'oeuvre non-familiale sur cette parcelle au cours de la campagne 2021/2022 pour la période d'entretien du sol (sarclage, etc.)? </v>
      </c>
      <c r="DL6" s="3223" t="s">
        <v>2171</v>
      </c>
      <c r="DM6" s="3223"/>
      <c r="DN6" s="3223"/>
      <c r="DO6" s="3223"/>
      <c r="DP6" s="3223"/>
      <c r="DQ6" s="3223"/>
      <c r="DR6" s="3223"/>
      <c r="DS6" s="3223"/>
      <c r="DT6" s="3223"/>
      <c r="DU6" s="3223"/>
      <c r="DV6" s="3223"/>
      <c r="DW6" s="3223"/>
      <c r="DX6" s="3250" t="str">
        <f>CONCATENATE("Avez-vous utilisé de la main-d'oeuvre non-familiale sur cette parcelle au cours de la campagne ", Variables!C4, " pour la période des récoltes?")</f>
        <v>Avez-vous utilisé de la main-d'oeuvre non-familiale sur cette parcelle au cours de la campagne 2021/2022 pour la période des récoltes?</v>
      </c>
      <c r="DY6" s="3223" t="s">
        <v>2172</v>
      </c>
      <c r="DZ6" s="3223"/>
      <c r="EA6" s="3223"/>
      <c r="EB6" s="3223"/>
      <c r="EC6" s="3223"/>
      <c r="ED6" s="3223"/>
      <c r="EE6" s="3223"/>
      <c r="EF6" s="3223"/>
      <c r="EG6" s="3223"/>
      <c r="EH6" s="3223"/>
      <c r="EI6" s="3223"/>
      <c r="EJ6" s="3640"/>
      <c r="EK6" s="3250" t="str">
        <f>CONCATENATE("Quel est le mode de labour de la parcelle au cours de la campagne ", Variables!C4, "?
1=Sans labour 
2=Manuel 
3=Attelé 
4=Motorisé")</f>
        <v>Quel est le mode de labour de la parcelle au cours de la campagne 2021/2022?
1=Sans labour 
2=Manuel 
3=Attelé 
4=Motorisé</v>
      </c>
      <c r="EL6" s="3270" t="str">
        <f>CONCATENATE("La parcelle a-t-elle été mesurée par GPS?
1=Oui
2=Non ►",EP5)</f>
        <v>La parcelle a-t-elle été mesurée par GPS?
1=Oui
2=Non ►(16A.48)</v>
      </c>
      <c r="EM6" s="3614" t="s">
        <v>2173</v>
      </c>
      <c r="EN6" s="3615"/>
      <c r="EO6" s="3270" t="s">
        <v>2174</v>
      </c>
      <c r="EP6" s="3270" t="s">
        <v>2175</v>
      </c>
    </row>
    <row r="7" spans="1:146" ht="15.75" customHeight="1" x14ac:dyDescent="0.25">
      <c r="A7" s="3590"/>
      <c r="B7" s="3584" t="str">
        <f>CONCATENATE("FAIRE  LA LISTE DE TOUS LES CHAMPS ET ENSUITE LES PARCELLES DANS LES CHAMPS EXPLOITÉES PAR LE MENAGE LORS DE LA CAMPAGNE ", Variables!C4)</f>
        <v>FAIRE  LA LISTE DE TOUS LES CHAMPS ET ENSUITE LES PARCELLES DANS LES CHAMPS EXPLOITÉES PAR LE MENAGE LORS DE LA CAMPAGNE 2021/2022</v>
      </c>
      <c r="C7" s="3247"/>
      <c r="D7" s="2782"/>
      <c r="E7" s="2782"/>
      <c r="F7" s="2782"/>
      <c r="G7" s="3253"/>
      <c r="H7" s="2904"/>
      <c r="I7" s="3594"/>
      <c r="J7" s="3263"/>
      <c r="K7" s="2807"/>
      <c r="L7" s="2852"/>
      <c r="M7" s="3251"/>
      <c r="N7" s="2782"/>
      <c r="O7" s="2782"/>
      <c r="P7" s="2782"/>
      <c r="Q7" s="2807"/>
      <c r="R7" s="2852"/>
      <c r="S7" s="2782"/>
      <c r="T7" s="2782"/>
      <c r="U7" s="2782"/>
      <c r="V7" s="2782"/>
      <c r="W7" s="2782"/>
      <c r="X7" s="2782"/>
      <c r="Y7" s="2782"/>
      <c r="Z7" s="2782"/>
      <c r="AA7" s="2782"/>
      <c r="AB7" s="3627"/>
      <c r="AC7" s="3628"/>
      <c r="AD7" s="3251"/>
      <c r="AE7" s="2782"/>
      <c r="AF7" s="3594"/>
      <c r="AG7" s="2782"/>
      <c r="AH7" s="3619" t="s">
        <v>2176</v>
      </c>
      <c r="AI7" s="3620"/>
      <c r="AJ7" s="3620"/>
      <c r="AK7" s="3620"/>
      <c r="AL7" s="3620"/>
      <c r="AM7" s="3620"/>
      <c r="AN7" s="3620"/>
      <c r="AO7" s="3621"/>
      <c r="AP7" s="3251"/>
      <c r="AQ7" s="3240" t="s">
        <v>2177</v>
      </c>
      <c r="AR7" s="3241"/>
      <c r="AS7" s="3240" t="s">
        <v>2178</v>
      </c>
      <c r="AT7" s="3241"/>
      <c r="AU7" s="3240" t="s">
        <v>2179</v>
      </c>
      <c r="AV7" s="3241"/>
      <c r="AW7" s="3240" t="s">
        <v>2180</v>
      </c>
      <c r="AX7" s="3221"/>
      <c r="AY7" s="3639"/>
      <c r="AZ7" s="2826"/>
      <c r="BA7" s="2826"/>
      <c r="BB7" s="2826"/>
      <c r="BC7" s="2826"/>
      <c r="BD7" s="2826"/>
      <c r="BE7" s="2826"/>
      <c r="BF7" s="2826"/>
      <c r="BG7" s="2826"/>
      <c r="BH7" s="2826"/>
      <c r="BI7" s="2826"/>
      <c r="BJ7" s="2826"/>
      <c r="BK7" s="2826"/>
      <c r="BL7" s="2826"/>
      <c r="BM7" s="2826"/>
      <c r="BN7" s="2826"/>
      <c r="BO7" s="2826"/>
      <c r="BP7" s="3251"/>
      <c r="BQ7" s="2826"/>
      <c r="BR7" s="2826"/>
      <c r="BS7" s="2826"/>
      <c r="BT7" s="2826"/>
      <c r="BU7" s="2826"/>
      <c r="BV7" s="2826"/>
      <c r="BW7" s="2826"/>
      <c r="BX7" s="2826"/>
      <c r="BY7" s="2826"/>
      <c r="BZ7" s="2826"/>
      <c r="CA7" s="2826"/>
      <c r="CB7" s="2826"/>
      <c r="CC7" s="2826"/>
      <c r="CD7" s="2826"/>
      <c r="CE7" s="2826"/>
      <c r="CF7" s="2826"/>
      <c r="CG7" s="3251"/>
      <c r="CH7" s="2826"/>
      <c r="CI7" s="2826"/>
      <c r="CJ7" s="2826"/>
      <c r="CK7" s="2826"/>
      <c r="CL7" s="2826"/>
      <c r="CM7" s="2826"/>
      <c r="CN7" s="2826"/>
      <c r="CO7" s="2826"/>
      <c r="CP7" s="2826"/>
      <c r="CQ7" s="2826"/>
      <c r="CR7" s="2826"/>
      <c r="CS7" s="2826"/>
      <c r="CT7" s="2826"/>
      <c r="CU7" s="2826"/>
      <c r="CV7" s="2826"/>
      <c r="CW7" s="2826"/>
      <c r="CX7" s="3251"/>
      <c r="CY7" s="2826"/>
      <c r="CZ7" s="2826"/>
      <c r="DA7" s="2826"/>
      <c r="DB7" s="2826"/>
      <c r="DC7" s="2826"/>
      <c r="DD7" s="2826"/>
      <c r="DE7" s="2826"/>
      <c r="DF7" s="2826"/>
      <c r="DG7" s="2826"/>
      <c r="DH7" s="2826"/>
      <c r="DI7" s="2826"/>
      <c r="DJ7" s="2826"/>
      <c r="DK7" s="3251"/>
      <c r="DL7" s="2826"/>
      <c r="DM7" s="2826"/>
      <c r="DN7" s="2826"/>
      <c r="DO7" s="2826"/>
      <c r="DP7" s="2826"/>
      <c r="DQ7" s="2826"/>
      <c r="DR7" s="2826"/>
      <c r="DS7" s="2826"/>
      <c r="DT7" s="2826"/>
      <c r="DU7" s="2826"/>
      <c r="DV7" s="2826"/>
      <c r="DW7" s="2826"/>
      <c r="DX7" s="3251"/>
      <c r="DY7" s="2826"/>
      <c r="DZ7" s="2826"/>
      <c r="EA7" s="2826"/>
      <c r="EB7" s="2826"/>
      <c r="EC7" s="2826"/>
      <c r="ED7" s="2826"/>
      <c r="EE7" s="2826"/>
      <c r="EF7" s="2826"/>
      <c r="EG7" s="2826"/>
      <c r="EH7" s="2826"/>
      <c r="EI7" s="2826"/>
      <c r="EJ7" s="2827"/>
      <c r="EK7" s="3251"/>
      <c r="EL7" s="2898"/>
      <c r="EM7" s="3616"/>
      <c r="EN7" s="3617"/>
      <c r="EO7" s="2898"/>
      <c r="EP7" s="2898"/>
    </row>
    <row r="8" spans="1:146" x14ac:dyDescent="0.25">
      <c r="A8" s="3590"/>
      <c r="B8" s="3585"/>
      <c r="C8" s="3247"/>
      <c r="D8" s="2782"/>
      <c r="E8" s="2782"/>
      <c r="F8" s="2782"/>
      <c r="G8" s="3253"/>
      <c r="H8" s="2904"/>
      <c r="I8" s="3594"/>
      <c r="J8" s="3263"/>
      <c r="K8" s="2807"/>
      <c r="L8" s="2852"/>
      <c r="M8" s="3251"/>
      <c r="N8" s="2782"/>
      <c r="O8" s="2782"/>
      <c r="P8" s="2782"/>
      <c r="Q8" s="2807"/>
      <c r="R8" s="2852"/>
      <c r="S8" s="2782"/>
      <c r="T8" s="2782"/>
      <c r="U8" s="2782"/>
      <c r="V8" s="2782"/>
      <c r="W8" s="2782"/>
      <c r="X8" s="2782"/>
      <c r="Y8" s="2782"/>
      <c r="Z8" s="2782"/>
      <c r="AA8" s="2782"/>
      <c r="AB8" s="3627"/>
      <c r="AC8" s="3628"/>
      <c r="AD8" s="3251"/>
      <c r="AE8" s="2782"/>
      <c r="AF8" s="3594"/>
      <c r="AG8" s="2782"/>
      <c r="AH8" s="3622"/>
      <c r="AI8" s="3623"/>
      <c r="AJ8" s="3623"/>
      <c r="AK8" s="3623"/>
      <c r="AL8" s="3623"/>
      <c r="AM8" s="3623"/>
      <c r="AN8" s="3623"/>
      <c r="AO8" s="3624"/>
      <c r="AP8" s="3251"/>
      <c r="AQ8" s="2807"/>
      <c r="AR8" s="2852"/>
      <c r="AS8" s="2807"/>
      <c r="AT8" s="2852"/>
      <c r="AU8" s="2807"/>
      <c r="AV8" s="2852"/>
      <c r="AW8" s="2807"/>
      <c r="AX8" s="3222"/>
      <c r="AY8" s="3639"/>
      <c r="AZ8" s="2826"/>
      <c r="BA8" s="2826"/>
      <c r="BB8" s="2826"/>
      <c r="BC8" s="2826"/>
      <c r="BD8" s="2826"/>
      <c r="BE8" s="2826"/>
      <c r="BF8" s="2826"/>
      <c r="BG8" s="2826"/>
      <c r="BH8" s="2826"/>
      <c r="BI8" s="2826"/>
      <c r="BJ8" s="2826"/>
      <c r="BK8" s="2826"/>
      <c r="BL8" s="2826"/>
      <c r="BM8" s="2826"/>
      <c r="BN8" s="2826"/>
      <c r="BO8" s="2826"/>
      <c r="BP8" s="3251"/>
      <c r="BQ8" s="2829"/>
      <c r="BR8" s="2829"/>
      <c r="BS8" s="2829"/>
      <c r="BT8" s="2829"/>
      <c r="BU8" s="2829"/>
      <c r="BV8" s="2829"/>
      <c r="BW8" s="2829"/>
      <c r="BX8" s="2829"/>
      <c r="BY8" s="2829"/>
      <c r="BZ8" s="2829"/>
      <c r="CA8" s="2829"/>
      <c r="CB8" s="2829"/>
      <c r="CC8" s="2829"/>
      <c r="CD8" s="2829"/>
      <c r="CE8" s="2829"/>
      <c r="CF8" s="2829"/>
      <c r="CG8" s="3251"/>
      <c r="CH8" s="2829"/>
      <c r="CI8" s="2829"/>
      <c r="CJ8" s="2829"/>
      <c r="CK8" s="2829"/>
      <c r="CL8" s="2829"/>
      <c r="CM8" s="2829"/>
      <c r="CN8" s="2829"/>
      <c r="CO8" s="2829"/>
      <c r="CP8" s="2829"/>
      <c r="CQ8" s="2829"/>
      <c r="CR8" s="2829"/>
      <c r="CS8" s="2829"/>
      <c r="CT8" s="2829"/>
      <c r="CU8" s="2829"/>
      <c r="CV8" s="2829"/>
      <c r="CW8" s="2829"/>
      <c r="CX8" s="3251"/>
      <c r="CY8" s="2826"/>
      <c r="CZ8" s="2826"/>
      <c r="DA8" s="2826"/>
      <c r="DB8" s="2826"/>
      <c r="DC8" s="2826"/>
      <c r="DD8" s="2826"/>
      <c r="DE8" s="2826"/>
      <c r="DF8" s="2826"/>
      <c r="DG8" s="2826"/>
      <c r="DH8" s="2826"/>
      <c r="DI8" s="2826"/>
      <c r="DJ8" s="2826"/>
      <c r="DK8" s="3251"/>
      <c r="DL8" s="2826"/>
      <c r="DM8" s="2826"/>
      <c r="DN8" s="2826"/>
      <c r="DO8" s="2826"/>
      <c r="DP8" s="2826"/>
      <c r="DQ8" s="2826"/>
      <c r="DR8" s="2826"/>
      <c r="DS8" s="2826"/>
      <c r="DT8" s="2826"/>
      <c r="DU8" s="2826"/>
      <c r="DV8" s="2826"/>
      <c r="DW8" s="2826"/>
      <c r="DX8" s="3251"/>
      <c r="DY8" s="2826"/>
      <c r="DZ8" s="2826"/>
      <c r="EA8" s="2826"/>
      <c r="EB8" s="2826"/>
      <c r="EC8" s="2826"/>
      <c r="ED8" s="2826"/>
      <c r="EE8" s="2826"/>
      <c r="EF8" s="2826"/>
      <c r="EG8" s="2826"/>
      <c r="EH8" s="2826"/>
      <c r="EI8" s="2826"/>
      <c r="EJ8" s="2827"/>
      <c r="EK8" s="3251"/>
      <c r="EL8" s="2898"/>
      <c r="EM8" s="858"/>
      <c r="EN8" s="859"/>
      <c r="EO8" s="2898"/>
      <c r="EP8" s="2898"/>
    </row>
    <row r="9" spans="1:146" ht="13.5" customHeight="1" x14ac:dyDescent="0.25">
      <c r="A9" s="3590"/>
      <c r="B9" s="3585"/>
      <c r="C9" s="3247"/>
      <c r="D9" s="2782"/>
      <c r="E9" s="2782"/>
      <c r="F9" s="2782"/>
      <c r="G9" s="3253"/>
      <c r="H9" s="2904"/>
      <c r="I9" s="3594"/>
      <c r="J9" s="3263"/>
      <c r="K9" s="2807"/>
      <c r="L9" s="2852"/>
      <c r="N9" s="2782"/>
      <c r="O9" s="2782"/>
      <c r="P9" s="2807"/>
      <c r="Q9" s="3631" t="s">
        <v>2181</v>
      </c>
      <c r="R9" s="3632"/>
      <c r="S9" s="2852"/>
      <c r="T9" s="2782"/>
      <c r="U9" s="2782"/>
      <c r="V9" s="2346"/>
      <c r="W9" s="2782"/>
      <c r="X9" s="2782"/>
      <c r="Y9" s="2782"/>
      <c r="Z9" s="2782"/>
      <c r="AA9" s="2782"/>
      <c r="AB9" s="3627"/>
      <c r="AC9" s="3628"/>
      <c r="AD9" s="3251"/>
      <c r="AE9" s="2782"/>
      <c r="AF9" s="3594"/>
      <c r="AG9" s="2782"/>
      <c r="AH9" s="3591" t="s">
        <v>2182</v>
      </c>
      <c r="AI9" s="3591"/>
      <c r="AJ9" s="3591" t="s">
        <v>2183</v>
      </c>
      <c r="AK9" s="3591"/>
      <c r="AL9" s="3591" t="s">
        <v>2184</v>
      </c>
      <c r="AM9" s="3591"/>
      <c r="AN9" s="3240" t="s">
        <v>2185</v>
      </c>
      <c r="AO9" s="3241"/>
      <c r="AP9" s="3251"/>
      <c r="AQ9" s="2807"/>
      <c r="AR9" s="2852"/>
      <c r="AS9" s="2807"/>
      <c r="AT9" s="2852"/>
      <c r="AU9" s="2807"/>
      <c r="AV9" s="2852"/>
      <c r="AW9" s="2807"/>
      <c r="AX9" s="3222"/>
      <c r="AY9" s="3639"/>
      <c r="AZ9" s="1061"/>
      <c r="BA9" s="1061"/>
      <c r="BB9" s="1061"/>
      <c r="BC9" s="1061"/>
      <c r="BD9" s="1061"/>
      <c r="BE9" s="1061"/>
      <c r="BF9" s="1061"/>
      <c r="BG9" s="1061"/>
      <c r="BH9" s="1061"/>
      <c r="BI9" s="1061"/>
      <c r="BJ9" s="1061"/>
      <c r="BK9" s="1061"/>
      <c r="BL9" s="1061"/>
      <c r="BM9" s="1061"/>
      <c r="BN9" s="1061"/>
      <c r="BO9" s="1061"/>
      <c r="BP9" s="3251"/>
      <c r="BQ9" s="1061"/>
      <c r="BR9" s="1061"/>
      <c r="BS9" s="1061"/>
      <c r="BT9" s="1061"/>
      <c r="BU9" s="1061"/>
      <c r="BV9" s="1061"/>
      <c r="BW9" s="1061"/>
      <c r="BX9" s="1061"/>
      <c r="BY9" s="1061"/>
      <c r="BZ9" s="1061"/>
      <c r="CA9" s="1061"/>
      <c r="CB9" s="1061"/>
      <c r="CC9" s="1061"/>
      <c r="CD9" s="1061"/>
      <c r="CE9" s="1061"/>
      <c r="CF9" s="1061"/>
      <c r="CG9" s="3251"/>
      <c r="CH9" s="972"/>
      <c r="CI9" s="972"/>
      <c r="CJ9" s="972"/>
      <c r="CK9" s="972"/>
      <c r="CL9" s="972"/>
      <c r="CM9" s="972"/>
      <c r="CN9" s="972"/>
      <c r="CO9" s="972"/>
      <c r="CP9" s="972"/>
      <c r="CQ9" s="972"/>
      <c r="CR9" s="972"/>
      <c r="CS9" s="972"/>
      <c r="CT9" s="972"/>
      <c r="CU9" s="972"/>
      <c r="CV9" s="972"/>
      <c r="CW9" s="972"/>
      <c r="CX9" s="3251"/>
      <c r="CY9" s="2826"/>
      <c r="CZ9" s="2826"/>
      <c r="DA9" s="2826"/>
      <c r="DB9" s="2826"/>
      <c r="DC9" s="2826"/>
      <c r="DD9" s="2826"/>
      <c r="DE9" s="2826"/>
      <c r="DF9" s="2826"/>
      <c r="DG9" s="2826"/>
      <c r="DH9" s="2826"/>
      <c r="DI9" s="2826"/>
      <c r="DJ9" s="2826"/>
      <c r="DK9" s="3251"/>
      <c r="DL9" s="2826"/>
      <c r="DM9" s="2826"/>
      <c r="DN9" s="2826"/>
      <c r="DO9" s="2826"/>
      <c r="DP9" s="2826"/>
      <c r="DQ9" s="2826"/>
      <c r="DR9" s="2826"/>
      <c r="DS9" s="2826"/>
      <c r="DT9" s="2826"/>
      <c r="DU9" s="2826"/>
      <c r="DV9" s="2826"/>
      <c r="DW9" s="2826"/>
      <c r="DX9" s="3251"/>
      <c r="DY9" s="2826"/>
      <c r="DZ9" s="2826"/>
      <c r="EA9" s="2826"/>
      <c r="EB9" s="2826"/>
      <c r="EC9" s="2826"/>
      <c r="ED9" s="2826"/>
      <c r="EE9" s="2826"/>
      <c r="EF9" s="2826"/>
      <c r="EG9" s="2826"/>
      <c r="EH9" s="2826"/>
      <c r="EI9" s="2826"/>
      <c r="EJ9" s="2827"/>
      <c r="EK9" s="3251"/>
      <c r="EL9" s="2898"/>
      <c r="EM9" s="343"/>
      <c r="EN9" s="860"/>
      <c r="EO9" s="2898"/>
      <c r="EP9" s="2898"/>
    </row>
    <row r="10" spans="1:146" ht="21" customHeight="1" x14ac:dyDescent="0.25">
      <c r="A10" s="3590"/>
      <c r="B10" s="3585"/>
      <c r="C10" s="3247"/>
      <c r="D10" s="2782"/>
      <c r="E10" s="2782"/>
      <c r="F10" s="2782"/>
      <c r="G10" s="3253"/>
      <c r="H10" s="2904"/>
      <c r="I10" s="3594"/>
      <c r="J10" s="3263"/>
      <c r="K10" s="2807"/>
      <c r="L10" s="2852"/>
      <c r="M10" s="2381" t="str">
        <f>CONCATENATE("1=Propriétaire")</f>
        <v>1=Propriétaire</v>
      </c>
      <c r="N10" s="2782"/>
      <c r="O10" s="2782"/>
      <c r="P10" s="2807"/>
      <c r="Q10" s="3633"/>
      <c r="R10" s="3634"/>
      <c r="S10" s="2852"/>
      <c r="T10" s="2346"/>
      <c r="U10" s="682"/>
      <c r="V10" s="2346" t="s">
        <v>2186</v>
      </c>
      <c r="X10" s="2782"/>
      <c r="Y10" s="2782"/>
      <c r="Z10" s="2782"/>
      <c r="AA10" s="2782"/>
      <c r="AB10" s="3627"/>
      <c r="AC10" s="3628"/>
      <c r="AD10" s="3251"/>
      <c r="AE10" s="2782"/>
      <c r="AF10" s="3594"/>
      <c r="AG10" s="2782"/>
      <c r="AH10" s="3591"/>
      <c r="AI10" s="3591"/>
      <c r="AJ10" s="3591"/>
      <c r="AK10" s="3591"/>
      <c r="AL10" s="3591"/>
      <c r="AM10" s="3591"/>
      <c r="AN10" s="2807"/>
      <c r="AO10" s="2852"/>
      <c r="AP10" s="3251"/>
      <c r="AQ10" s="2807"/>
      <c r="AR10" s="2852"/>
      <c r="AS10" s="2807"/>
      <c r="AT10" s="2852"/>
      <c r="AU10" s="2807"/>
      <c r="AV10" s="2852"/>
      <c r="AW10" s="2807"/>
      <c r="AX10" s="3222"/>
      <c r="AY10" s="3639"/>
      <c r="AZ10" s="861"/>
      <c r="BA10" s="861"/>
      <c r="BB10" s="861"/>
      <c r="BC10" s="861"/>
      <c r="BD10" s="861"/>
      <c r="BE10" s="861"/>
      <c r="BF10" s="861"/>
      <c r="BG10" s="861"/>
      <c r="BH10" s="861"/>
      <c r="BI10" s="861"/>
      <c r="BJ10" s="861"/>
      <c r="BK10" s="861"/>
      <c r="BL10" s="861"/>
      <c r="BM10" s="861"/>
      <c r="BN10" s="861"/>
      <c r="BO10" s="861"/>
      <c r="BP10" s="3251"/>
      <c r="BQ10" s="861"/>
      <c r="BR10" s="861"/>
      <c r="BS10" s="861"/>
      <c r="BT10" s="861"/>
      <c r="BU10" s="861"/>
      <c r="BV10" s="861"/>
      <c r="BW10" s="861"/>
      <c r="BX10" s="861"/>
      <c r="BY10" s="861"/>
      <c r="BZ10" s="861"/>
      <c r="CA10" s="861"/>
      <c r="CB10" s="861"/>
      <c r="CC10" s="861"/>
      <c r="CD10" s="861"/>
      <c r="CE10" s="861"/>
      <c r="CF10" s="861"/>
      <c r="CG10" s="3251"/>
      <c r="CH10" s="972"/>
      <c r="CI10" s="972"/>
      <c r="CJ10" s="972"/>
      <c r="CK10" s="972"/>
      <c r="CL10" s="972"/>
      <c r="CM10" s="972"/>
      <c r="CN10" s="972"/>
      <c r="CO10" s="972"/>
      <c r="CP10" s="972"/>
      <c r="CQ10" s="972"/>
      <c r="CR10" s="972"/>
      <c r="CS10" s="972"/>
      <c r="CT10" s="972"/>
      <c r="CU10" s="972"/>
      <c r="CV10" s="972"/>
      <c r="CW10" s="972"/>
      <c r="CX10" s="3251"/>
      <c r="CY10" s="2829"/>
      <c r="CZ10" s="2829"/>
      <c r="DA10" s="2829"/>
      <c r="DB10" s="2829"/>
      <c r="DC10" s="2829"/>
      <c r="DD10" s="2829"/>
      <c r="DE10" s="2829"/>
      <c r="DF10" s="2829"/>
      <c r="DG10" s="2829"/>
      <c r="DH10" s="2829"/>
      <c r="DI10" s="2829"/>
      <c r="DJ10" s="2829"/>
      <c r="DK10" s="3251"/>
      <c r="DL10" s="2829"/>
      <c r="DM10" s="2829"/>
      <c r="DN10" s="2829"/>
      <c r="DO10" s="2829"/>
      <c r="DP10" s="2829"/>
      <c r="DQ10" s="2829"/>
      <c r="DR10" s="2829"/>
      <c r="DS10" s="2829"/>
      <c r="DT10" s="2829"/>
      <c r="DU10" s="2829"/>
      <c r="DV10" s="2829"/>
      <c r="DW10" s="2829"/>
      <c r="DX10" s="3251"/>
      <c r="DY10" s="2829"/>
      <c r="DZ10" s="2829"/>
      <c r="EA10" s="2829"/>
      <c r="EB10" s="2829"/>
      <c r="EC10" s="2829"/>
      <c r="ED10" s="2829"/>
      <c r="EE10" s="2829"/>
      <c r="EF10" s="2829"/>
      <c r="EG10" s="2829"/>
      <c r="EH10" s="2829"/>
      <c r="EI10" s="2829"/>
      <c r="EJ10" s="2830"/>
      <c r="EK10" s="3251"/>
      <c r="EL10" s="2898"/>
      <c r="EM10" s="534"/>
      <c r="EN10" s="534"/>
      <c r="EO10" s="2898"/>
      <c r="EP10" s="2898"/>
    </row>
    <row r="11" spans="1:146" ht="17.25" customHeight="1" x14ac:dyDescent="0.25">
      <c r="A11" s="3590"/>
      <c r="B11" s="3585"/>
      <c r="C11" s="3247"/>
      <c r="D11" s="2782"/>
      <c r="E11" s="2782"/>
      <c r="F11" s="2782"/>
      <c r="G11" s="3253"/>
      <c r="H11" s="2904"/>
      <c r="I11" s="3595"/>
      <c r="J11" s="3602"/>
      <c r="K11" s="2807"/>
      <c r="L11" s="2852"/>
      <c r="M11" s="2381" t="str">
        <f>CONCATENATE("2=Prêt gratuit ►",U5)</f>
        <v>2=Prêt gratuit ►(16A.17)</v>
      </c>
      <c r="N11" s="2782"/>
      <c r="O11" s="2782"/>
      <c r="P11" s="2807"/>
      <c r="Q11" s="3633"/>
      <c r="R11" s="3634"/>
      <c r="S11" s="2852"/>
      <c r="T11" s="3596" t="s">
        <v>2187</v>
      </c>
      <c r="U11" s="2381"/>
      <c r="V11" s="682" t="s">
        <v>2188</v>
      </c>
      <c r="W11" s="682" t="s">
        <v>2189</v>
      </c>
      <c r="Y11" s="2782"/>
      <c r="Z11" s="2782"/>
      <c r="AA11" s="2782"/>
      <c r="AB11" s="3627"/>
      <c r="AC11" s="3628"/>
      <c r="AD11" s="3251"/>
      <c r="AE11" s="2782"/>
      <c r="AF11" s="3594"/>
      <c r="AG11" s="2782"/>
      <c r="AH11" s="3591"/>
      <c r="AI11" s="3591"/>
      <c r="AJ11" s="3591"/>
      <c r="AK11" s="3591"/>
      <c r="AL11" s="3591"/>
      <c r="AM11" s="3591"/>
      <c r="AN11" s="2807"/>
      <c r="AO11" s="2852"/>
      <c r="AP11" s="3251"/>
      <c r="AQ11" s="2807"/>
      <c r="AR11" s="2852"/>
      <c r="AS11" s="2807"/>
      <c r="AT11" s="2852"/>
      <c r="AU11" s="2807"/>
      <c r="AV11" s="2852"/>
      <c r="AW11" s="2807"/>
      <c r="AX11" s="3222"/>
      <c r="AY11" s="3639"/>
      <c r="AZ11" s="861"/>
      <c r="BA11" s="861"/>
      <c r="BB11" s="861"/>
      <c r="BC11" s="861"/>
      <c r="BD11" s="861"/>
      <c r="BE11" s="861"/>
      <c r="BF11" s="861"/>
      <c r="BG11" s="861"/>
      <c r="BH11" s="861"/>
      <c r="BI11" s="861"/>
      <c r="BJ11" s="861"/>
      <c r="BK11" s="861"/>
      <c r="BL11" s="861"/>
      <c r="BM11" s="861"/>
      <c r="BN11" s="861"/>
      <c r="BO11" s="861"/>
      <c r="BP11" s="3251"/>
      <c r="BQ11" s="861"/>
      <c r="BR11" s="861"/>
      <c r="BS11" s="861"/>
      <c r="BT11" s="861"/>
      <c r="BU11" s="861"/>
      <c r="BV11" s="861"/>
      <c r="BW11" s="861"/>
      <c r="BX11" s="861"/>
      <c r="BY11" s="861"/>
      <c r="BZ11" s="861"/>
      <c r="CA11" s="861"/>
      <c r="CB11" s="861"/>
      <c r="CC11" s="861"/>
      <c r="CD11" s="861"/>
      <c r="CE11" s="861"/>
      <c r="CF11" s="861"/>
      <c r="CG11" s="3251"/>
      <c r="CH11" s="972"/>
      <c r="CI11" s="972"/>
      <c r="CJ11" s="972"/>
      <c r="CK11" s="972"/>
      <c r="CL11" s="972"/>
      <c r="CM11" s="972"/>
      <c r="CN11" s="972"/>
      <c r="CO11" s="972"/>
      <c r="CP11" s="972"/>
      <c r="CQ11" s="972"/>
      <c r="CR11" s="972"/>
      <c r="CS11" s="972"/>
      <c r="CT11" s="972"/>
      <c r="CU11" s="972"/>
      <c r="CV11" s="972"/>
      <c r="CW11" s="972"/>
      <c r="CX11" s="3251"/>
      <c r="CY11" s="861"/>
      <c r="CZ11" s="861"/>
      <c r="DA11" s="861"/>
      <c r="DB11" s="861"/>
      <c r="DC11" s="861"/>
      <c r="DD11" s="861"/>
      <c r="DE11" s="861"/>
      <c r="DF11" s="861"/>
      <c r="DG11" s="861"/>
      <c r="DH11" s="861"/>
      <c r="DI11" s="861"/>
      <c r="DJ11" s="861"/>
      <c r="DK11" s="3251"/>
      <c r="DL11" s="861"/>
      <c r="DM11" s="861"/>
      <c r="DN11" s="861"/>
      <c r="DO11" s="861"/>
      <c r="DP11" s="861"/>
      <c r="DQ11" s="861"/>
      <c r="DR11" s="861"/>
      <c r="DS11" s="861"/>
      <c r="DT11" s="861"/>
      <c r="DU11" s="861"/>
      <c r="DV11" s="861"/>
      <c r="DW11" s="861"/>
      <c r="DX11" s="3251"/>
      <c r="DY11" s="861"/>
      <c r="DZ11" s="861"/>
      <c r="EA11" s="861"/>
      <c r="EB11" s="861"/>
      <c r="EC11" s="861"/>
      <c r="ED11" s="861"/>
      <c r="EE11" s="861"/>
      <c r="EF11" s="861"/>
      <c r="EG11" s="861"/>
      <c r="EH11" s="861"/>
      <c r="EI11" s="861"/>
      <c r="EJ11" s="862"/>
      <c r="EK11" s="3251"/>
      <c r="EL11" s="2898"/>
      <c r="EM11" s="534"/>
      <c r="EN11" s="534"/>
      <c r="EO11" s="2898"/>
      <c r="EP11" s="2898"/>
    </row>
    <row r="12" spans="1:146" ht="40.5" customHeight="1" x14ac:dyDescent="0.25">
      <c r="A12" s="3590"/>
      <c r="B12" s="3585"/>
      <c r="C12" s="3247"/>
      <c r="D12" s="2483"/>
      <c r="E12" s="2782"/>
      <c r="F12" s="2782"/>
      <c r="G12" s="3253"/>
      <c r="H12" s="2904"/>
      <c r="I12" s="534"/>
      <c r="J12" s="534"/>
      <c r="K12" s="2807"/>
      <c r="L12" s="2852"/>
      <c r="M12" s="2381" t="str">
        <f>CONCATENATE("3=Fermage  ►",U5,
"
4=Métayage ►",U5)</f>
        <v>3=Fermage  ►(16A.17)
4=Métayage ►(16A.17)</v>
      </c>
      <c r="N12" s="2782"/>
      <c r="O12" s="2782"/>
      <c r="P12" s="2807"/>
      <c r="Q12" s="3633"/>
      <c r="R12" s="3634"/>
      <c r="S12" s="2852"/>
      <c r="T12" s="3596"/>
      <c r="U12" s="1122" t="s">
        <v>2190</v>
      </c>
      <c r="V12" s="682" t="s">
        <v>2191</v>
      </c>
      <c r="W12" s="2346" t="s">
        <v>2192</v>
      </c>
      <c r="X12" s="682" t="s">
        <v>2193</v>
      </c>
      <c r="Y12" s="2782"/>
      <c r="Z12" s="2782"/>
      <c r="AA12" s="2782"/>
      <c r="AB12" s="3627"/>
      <c r="AC12" s="3628"/>
      <c r="AD12" s="3251"/>
      <c r="AE12" s="2782"/>
      <c r="AF12" s="3594"/>
      <c r="AG12" s="2782"/>
      <c r="AH12" s="3591"/>
      <c r="AI12" s="3591"/>
      <c r="AJ12" s="3591"/>
      <c r="AK12" s="3591"/>
      <c r="AL12" s="3591"/>
      <c r="AM12" s="3591"/>
      <c r="AN12" s="2807"/>
      <c r="AO12" s="2852"/>
      <c r="AP12" s="3251"/>
      <c r="AQ12" s="2807"/>
      <c r="AR12" s="2852"/>
      <c r="AS12" s="2807"/>
      <c r="AT12" s="2852"/>
      <c r="AU12" s="2807"/>
      <c r="AV12" s="2852"/>
      <c r="AW12" s="2807"/>
      <c r="AX12" s="3222"/>
      <c r="AY12" s="3639"/>
      <c r="AZ12" s="861"/>
      <c r="BA12" s="861"/>
      <c r="BB12" s="861"/>
      <c r="BC12" s="861"/>
      <c r="BD12" s="861"/>
      <c r="BE12" s="861"/>
      <c r="BF12" s="861"/>
      <c r="BG12" s="861"/>
      <c r="BH12" s="861"/>
      <c r="BI12" s="861"/>
      <c r="BJ12" s="861"/>
      <c r="BK12" s="861"/>
      <c r="BL12" s="861"/>
      <c r="BM12" s="861"/>
      <c r="BN12" s="861"/>
      <c r="BO12" s="861"/>
      <c r="BP12" s="3251"/>
      <c r="BQ12" s="861"/>
      <c r="BR12" s="861"/>
      <c r="BS12" s="861"/>
      <c r="BT12" s="861"/>
      <c r="BU12" s="861"/>
      <c r="BV12" s="861"/>
      <c r="BW12" s="861"/>
      <c r="BX12" s="861"/>
      <c r="BY12" s="861"/>
      <c r="BZ12" s="861"/>
      <c r="CA12" s="861"/>
      <c r="CB12" s="861"/>
      <c r="CC12" s="861"/>
      <c r="CD12" s="861"/>
      <c r="CE12" s="861"/>
      <c r="CF12" s="861"/>
      <c r="CG12" s="3251"/>
      <c r="CH12" s="972"/>
      <c r="CI12" s="972"/>
      <c r="CJ12" s="972"/>
      <c r="CK12" s="972"/>
      <c r="CL12" s="972"/>
      <c r="CM12" s="972"/>
      <c r="CN12" s="972"/>
      <c r="CO12" s="972"/>
      <c r="CP12" s="972"/>
      <c r="CQ12" s="972"/>
      <c r="CR12" s="972"/>
      <c r="CS12" s="972"/>
      <c r="CT12" s="972"/>
      <c r="CU12" s="972"/>
      <c r="CV12" s="972"/>
      <c r="CW12" s="972"/>
      <c r="CX12" s="3251"/>
      <c r="CY12" s="861"/>
      <c r="CZ12" s="861"/>
      <c r="DA12" s="861"/>
      <c r="DB12" s="861"/>
      <c r="DC12" s="861"/>
      <c r="DD12" s="861"/>
      <c r="DE12" s="861"/>
      <c r="DF12" s="861"/>
      <c r="DG12" s="861"/>
      <c r="DH12" s="861"/>
      <c r="DI12" s="861"/>
      <c r="DJ12" s="861"/>
      <c r="DK12" s="3251"/>
      <c r="DL12" s="861"/>
      <c r="DM12" s="861"/>
      <c r="DN12" s="861"/>
      <c r="DO12" s="861"/>
      <c r="DP12" s="861"/>
      <c r="DQ12" s="861"/>
      <c r="DR12" s="861"/>
      <c r="DS12" s="861"/>
      <c r="DT12" s="861"/>
      <c r="DU12" s="861"/>
      <c r="DV12" s="861"/>
      <c r="DW12" s="861"/>
      <c r="DX12" s="3251"/>
      <c r="DY12" s="861"/>
      <c r="DZ12" s="861"/>
      <c r="EA12" s="861"/>
      <c r="EB12" s="861"/>
      <c r="EC12" s="861"/>
      <c r="ED12" s="861"/>
      <c r="EE12" s="861"/>
      <c r="EF12" s="861"/>
      <c r="EG12" s="861"/>
      <c r="EH12" s="861"/>
      <c r="EI12" s="861"/>
      <c r="EJ12" s="862"/>
      <c r="EK12" s="3251"/>
      <c r="EL12" s="2898"/>
      <c r="EM12" s="534"/>
      <c r="EN12" s="534"/>
      <c r="EO12" s="2898"/>
      <c r="EP12" s="2898"/>
    </row>
    <row r="13" spans="1:146" ht="27" customHeight="1" x14ac:dyDescent="0.25">
      <c r="A13" s="3590"/>
      <c r="B13" s="3585"/>
      <c r="C13" s="3247"/>
      <c r="D13" s="2483"/>
      <c r="E13" s="2782"/>
      <c r="F13" s="2782"/>
      <c r="G13" s="3253"/>
      <c r="H13" s="2904"/>
      <c r="I13" s="534"/>
      <c r="J13" s="863"/>
      <c r="K13" s="2807"/>
      <c r="L13" s="2852"/>
      <c r="M13" s="2381" t="str">
        <f>CONCATENATE("5=Gage ►",U5)</f>
        <v>5=Gage ►(16A.17)</v>
      </c>
      <c r="N13" s="2782"/>
      <c r="O13" s="2782"/>
      <c r="P13" s="2807"/>
      <c r="Q13" s="3633"/>
      <c r="R13" s="3634"/>
      <c r="S13" s="2852"/>
      <c r="T13" s="3596"/>
      <c r="U13" s="682" t="s">
        <v>2194</v>
      </c>
      <c r="V13" s="682" t="s">
        <v>2195</v>
      </c>
      <c r="W13" s="682" t="s">
        <v>2196</v>
      </c>
      <c r="X13" s="682" t="s">
        <v>2197</v>
      </c>
      <c r="Y13" s="2346"/>
      <c r="Z13" s="2782"/>
      <c r="AA13" s="2782"/>
      <c r="AB13" s="3627"/>
      <c r="AC13" s="3628"/>
      <c r="AD13" s="3251"/>
      <c r="AE13" s="2782"/>
      <c r="AF13" s="3594"/>
      <c r="AG13" s="2782"/>
      <c r="AH13" s="3591"/>
      <c r="AI13" s="3591"/>
      <c r="AJ13" s="3591"/>
      <c r="AK13" s="3591"/>
      <c r="AL13" s="3591"/>
      <c r="AM13" s="3591"/>
      <c r="AN13" s="2807"/>
      <c r="AO13" s="2852"/>
      <c r="AP13" s="3251"/>
      <c r="AQ13" s="2807"/>
      <c r="AR13" s="2852"/>
      <c r="AS13" s="2807"/>
      <c r="AT13" s="2852"/>
      <c r="AU13" s="2807"/>
      <c r="AV13" s="2852"/>
      <c r="AW13" s="2807"/>
      <c r="AX13" s="3222"/>
      <c r="AY13" s="2782" t="str">
        <f>CONCATENATE("1=Oui 
2=Non ►",BP5)</f>
        <v>1=Oui 
2=Non ►(16A.34)</v>
      </c>
      <c r="AZ13" s="861"/>
      <c r="BA13" s="861"/>
      <c r="BB13" s="861"/>
      <c r="BC13" s="861"/>
      <c r="BD13" s="861"/>
      <c r="BE13" s="861"/>
      <c r="BF13" s="861"/>
      <c r="BG13" s="861"/>
      <c r="BH13" s="861"/>
      <c r="BI13" s="861"/>
      <c r="BJ13" s="861"/>
      <c r="BK13" s="861"/>
      <c r="BL13" s="861"/>
      <c r="BM13" s="861"/>
      <c r="BN13" s="861"/>
      <c r="BO13" s="861"/>
      <c r="BP13" s="2782" t="str">
        <f>CONCATENATE("1=Oui  
2=Non ►",CG5)</f>
        <v>1=Oui  
2=Non ►(16A.36)</v>
      </c>
      <c r="BQ13" s="861"/>
      <c r="BR13" s="861"/>
      <c r="BS13" s="861"/>
      <c r="BT13" s="861"/>
      <c r="BU13" s="861"/>
      <c r="BV13" s="861"/>
      <c r="BW13" s="861"/>
      <c r="BX13" s="861"/>
      <c r="BY13" s="861"/>
      <c r="BZ13" s="861"/>
      <c r="CA13" s="861"/>
      <c r="CB13" s="861"/>
      <c r="CC13" s="861"/>
      <c r="CD13" s="861"/>
      <c r="CE13" s="861"/>
      <c r="CF13" s="861"/>
      <c r="CG13" s="2381" t="str">
        <f>CONCATENATE("1=Oui 
2=Non ►",CX5)</f>
        <v>1=Oui 
2=Non ►(16A.38)</v>
      </c>
      <c r="CH13" s="972"/>
      <c r="CI13" s="972"/>
      <c r="CJ13" s="972"/>
      <c r="CK13" s="972"/>
      <c r="CL13" s="972"/>
      <c r="CM13" s="972"/>
      <c r="CN13" s="972"/>
      <c r="CO13" s="972"/>
      <c r="CP13" s="972"/>
      <c r="CQ13" s="972"/>
      <c r="CR13" s="972"/>
      <c r="CS13" s="972"/>
      <c r="CT13" s="972"/>
      <c r="CU13" s="972"/>
      <c r="CV13" s="972"/>
      <c r="CW13" s="972"/>
      <c r="CX13" s="2381" t="str">
        <f>CONCATENATE("1=Oui 
2=Non ►",DK5)</f>
        <v>1=Oui 
2=Non ►(16A.40)</v>
      </c>
      <c r="CY13" s="861"/>
      <c r="CZ13" s="861"/>
      <c r="DA13" s="861"/>
      <c r="DB13" s="861"/>
      <c r="DC13" s="861"/>
      <c r="DD13" s="861"/>
      <c r="DE13" s="861"/>
      <c r="DF13" s="861"/>
      <c r="DG13" s="861"/>
      <c r="DH13" s="861"/>
      <c r="DI13" s="861"/>
      <c r="DJ13" s="861"/>
      <c r="DK13" s="2381" t="str">
        <f>CONCATENATE("1=Oui 
2=Non ►",DX5)</f>
        <v>1=Oui 
2=Non ►(16A.42)</v>
      </c>
      <c r="DL13" s="861"/>
      <c r="DM13" s="861"/>
      <c r="DN13" s="861"/>
      <c r="DO13" s="861"/>
      <c r="DP13" s="861"/>
      <c r="DQ13" s="861"/>
      <c r="DR13" s="861"/>
      <c r="DS13" s="861"/>
      <c r="DT13" s="861"/>
      <c r="DU13" s="861"/>
      <c r="DV13" s="861"/>
      <c r="DW13" s="861"/>
      <c r="DX13" s="2346" t="str">
        <f>CONCATENATE("1=Oui 
2=Non ►",EK5)</f>
        <v>1=Oui 
2=Non ►(16A.44)</v>
      </c>
      <c r="DY13" s="861"/>
      <c r="DZ13" s="861"/>
      <c r="EA13" s="861"/>
      <c r="EB13" s="861"/>
      <c r="EC13" s="861"/>
      <c r="ED13" s="861"/>
      <c r="EE13" s="861"/>
      <c r="EF13" s="861"/>
      <c r="EG13" s="861"/>
      <c r="EH13" s="861"/>
      <c r="EI13" s="861"/>
      <c r="EJ13" s="862"/>
      <c r="EK13" s="3251"/>
      <c r="EL13" s="2898"/>
      <c r="EM13" s="534"/>
      <c r="EN13" s="534"/>
      <c r="EO13" s="2898"/>
      <c r="EP13" s="2898"/>
    </row>
    <row r="14" spans="1:146" x14ac:dyDescent="0.25">
      <c r="A14" s="3590"/>
      <c r="B14" s="3585"/>
      <c r="C14" s="3247"/>
      <c r="D14" s="2483"/>
      <c r="E14" s="2782"/>
      <c r="F14" s="2782"/>
      <c r="G14" s="3253"/>
      <c r="H14" s="2384"/>
      <c r="I14" s="534"/>
      <c r="J14" s="534"/>
      <c r="K14" s="2807"/>
      <c r="L14" s="2852"/>
      <c r="M14" s="2381" t="str">
        <f>CONCATENATE("6=Autre ►",U5)</f>
        <v>6=Autre ►(16A.17)</v>
      </c>
      <c r="N14" s="2782"/>
      <c r="O14" s="2782"/>
      <c r="P14" s="2807"/>
      <c r="Q14" s="3633"/>
      <c r="R14" s="3634"/>
      <c r="S14" s="2852"/>
      <c r="T14" s="3596"/>
      <c r="U14" s="682" t="s">
        <v>2198</v>
      </c>
      <c r="V14" s="682" t="s">
        <v>2199</v>
      </c>
      <c r="W14" s="682" t="s">
        <v>2200</v>
      </c>
      <c r="X14" s="682" t="s">
        <v>2201</v>
      </c>
      <c r="Y14" s="2346"/>
      <c r="Z14" s="2782"/>
      <c r="AA14" s="2782"/>
      <c r="AB14" s="3627"/>
      <c r="AC14" s="3628"/>
      <c r="AD14" s="3251"/>
      <c r="AE14" s="2782"/>
      <c r="AF14" s="3594"/>
      <c r="AG14" s="2782"/>
      <c r="AH14" s="3591"/>
      <c r="AI14" s="3591"/>
      <c r="AJ14" s="3591"/>
      <c r="AK14" s="3591"/>
      <c r="AL14" s="3591"/>
      <c r="AM14" s="3591"/>
      <c r="AN14" s="2807"/>
      <c r="AO14" s="2852"/>
      <c r="AP14" s="3251"/>
      <c r="AQ14" s="2807"/>
      <c r="AR14" s="2852"/>
      <c r="AS14" s="2807"/>
      <c r="AT14" s="2852"/>
      <c r="AU14" s="2807"/>
      <c r="AV14" s="2852"/>
      <c r="AW14" s="2807"/>
      <c r="AX14" s="3222"/>
      <c r="AY14" s="2782"/>
      <c r="AZ14" s="861"/>
      <c r="BA14" s="861"/>
      <c r="BB14" s="861"/>
      <c r="BC14" s="861"/>
      <c r="BD14" s="861"/>
      <c r="BE14" s="861"/>
      <c r="BF14" s="861"/>
      <c r="BG14" s="861"/>
      <c r="BH14" s="861"/>
      <c r="BI14" s="861"/>
      <c r="BJ14" s="861"/>
      <c r="BK14" s="861"/>
      <c r="BL14" s="861"/>
      <c r="BM14" s="861"/>
      <c r="BN14" s="861"/>
      <c r="BO14" s="861"/>
      <c r="BP14" s="2782"/>
      <c r="BQ14" s="861"/>
      <c r="BR14" s="861"/>
      <c r="BS14" s="861"/>
      <c r="BT14" s="861"/>
      <c r="BU14" s="861"/>
      <c r="BV14" s="861"/>
      <c r="BW14" s="861"/>
      <c r="BX14" s="861"/>
      <c r="BY14" s="861"/>
      <c r="BZ14" s="861"/>
      <c r="CA14" s="861"/>
      <c r="CB14" s="861"/>
      <c r="CC14" s="861"/>
      <c r="CD14" s="861"/>
      <c r="CE14" s="861"/>
      <c r="CF14" s="861"/>
      <c r="CG14" s="2381"/>
      <c r="CH14" s="972"/>
      <c r="CI14" s="972"/>
      <c r="CJ14" s="972"/>
      <c r="CK14" s="972"/>
      <c r="CL14" s="972"/>
      <c r="CM14" s="972"/>
      <c r="CN14" s="972"/>
      <c r="CO14" s="972"/>
      <c r="CP14" s="972"/>
      <c r="CQ14" s="972"/>
      <c r="CR14" s="972"/>
      <c r="CS14" s="972"/>
      <c r="CT14" s="972"/>
      <c r="CU14" s="972"/>
      <c r="CV14" s="972"/>
      <c r="CW14" s="972"/>
      <c r="CX14" s="2381"/>
      <c r="CY14" s="861"/>
      <c r="CZ14" s="861"/>
      <c r="DA14" s="861"/>
      <c r="DB14" s="861"/>
      <c r="DC14" s="861"/>
      <c r="DD14" s="861"/>
      <c r="DE14" s="861"/>
      <c r="DF14" s="861"/>
      <c r="DG14" s="861"/>
      <c r="DH14" s="861"/>
      <c r="DI14" s="861"/>
      <c r="DJ14" s="861"/>
      <c r="DK14" s="2381"/>
      <c r="DL14" s="861"/>
      <c r="DM14" s="861"/>
      <c r="DN14" s="861"/>
      <c r="DO14" s="861"/>
      <c r="DP14" s="861"/>
      <c r="DQ14" s="861"/>
      <c r="DR14" s="861"/>
      <c r="DS14" s="861"/>
      <c r="DT14" s="861"/>
      <c r="DU14" s="861"/>
      <c r="DV14" s="861"/>
      <c r="DW14" s="861"/>
      <c r="DX14" s="2381"/>
      <c r="DY14" s="861"/>
      <c r="DZ14" s="861"/>
      <c r="EA14" s="861"/>
      <c r="EB14" s="861"/>
      <c r="EC14" s="861"/>
      <c r="ED14" s="861"/>
      <c r="EE14" s="861"/>
      <c r="EF14" s="861"/>
      <c r="EG14" s="861"/>
      <c r="EH14" s="861"/>
      <c r="EI14" s="861"/>
      <c r="EJ14" s="862"/>
      <c r="EK14" s="3251"/>
      <c r="EL14" s="2898"/>
      <c r="EM14" s="534"/>
      <c r="EN14" s="534"/>
      <c r="EO14" s="2898"/>
      <c r="EP14" s="2898"/>
    </row>
    <row r="15" spans="1:146" ht="13.5" customHeight="1" x14ac:dyDescent="0.25">
      <c r="A15" s="3590"/>
      <c r="B15" s="3585"/>
      <c r="C15" s="3247"/>
      <c r="D15" s="2483"/>
      <c r="E15" s="2782"/>
      <c r="F15" s="534"/>
      <c r="G15" s="3253"/>
      <c r="H15" s="2384"/>
      <c r="I15" s="534"/>
      <c r="J15" s="534"/>
      <c r="K15" s="2807"/>
      <c r="L15" s="2852"/>
      <c r="M15" s="2381"/>
      <c r="N15" s="2782"/>
      <c r="O15" s="2782"/>
      <c r="P15" s="2807"/>
      <c r="Q15" s="3633"/>
      <c r="R15" s="3634"/>
      <c r="S15" s="2852"/>
      <c r="T15" s="3596"/>
      <c r="U15" s="682" t="s">
        <v>2202</v>
      </c>
      <c r="V15" s="682"/>
      <c r="W15" s="682" t="s">
        <v>2203</v>
      </c>
      <c r="X15" s="682"/>
      <c r="Y15" s="2346"/>
      <c r="Z15" s="2782"/>
      <c r="AA15" s="2782"/>
      <c r="AB15" s="3627"/>
      <c r="AC15" s="3628"/>
      <c r="AD15" s="3251"/>
      <c r="AE15" s="2782"/>
      <c r="AF15" s="3594"/>
      <c r="AG15" s="2782"/>
      <c r="AH15" s="3591"/>
      <c r="AI15" s="3591"/>
      <c r="AJ15" s="3591"/>
      <c r="AK15" s="3591"/>
      <c r="AL15" s="3591"/>
      <c r="AM15" s="3591"/>
      <c r="AN15" s="2807"/>
      <c r="AO15" s="2852"/>
      <c r="AP15" s="3251"/>
      <c r="AQ15" s="2807"/>
      <c r="AR15" s="2852"/>
      <c r="AS15" s="2807"/>
      <c r="AT15" s="2852"/>
      <c r="AU15" s="2807"/>
      <c r="AV15" s="2852"/>
      <c r="AW15" s="2807"/>
      <c r="AX15" s="3222"/>
      <c r="AY15" s="1029"/>
      <c r="AZ15" s="861"/>
      <c r="BA15" s="861"/>
      <c r="BB15" s="861"/>
      <c r="BC15" s="861"/>
      <c r="BD15" s="861"/>
      <c r="BE15" s="861"/>
      <c r="BF15" s="861"/>
      <c r="BG15" s="861"/>
      <c r="BH15" s="861"/>
      <c r="BI15" s="861"/>
      <c r="BJ15" s="861"/>
      <c r="BK15" s="861"/>
      <c r="BL15" s="861"/>
      <c r="BM15" s="861"/>
      <c r="BN15" s="861"/>
      <c r="BO15" s="861"/>
      <c r="BP15" s="2381"/>
      <c r="BQ15" s="861"/>
      <c r="BR15" s="861"/>
      <c r="BS15" s="861"/>
      <c r="BT15" s="861"/>
      <c r="BU15" s="861"/>
      <c r="BV15" s="861"/>
      <c r="BW15" s="861"/>
      <c r="BX15" s="861"/>
      <c r="BY15" s="861"/>
      <c r="BZ15" s="861"/>
      <c r="CA15" s="861"/>
      <c r="CB15" s="861"/>
      <c r="CC15" s="861"/>
      <c r="CD15" s="861"/>
      <c r="CE15" s="861"/>
      <c r="CF15" s="861"/>
      <c r="CG15" s="2381"/>
      <c r="CH15" s="972"/>
      <c r="CI15" s="972"/>
      <c r="CJ15" s="972"/>
      <c r="CK15" s="972"/>
      <c r="CL15" s="972"/>
      <c r="CM15" s="972"/>
      <c r="CN15" s="972"/>
      <c r="CO15" s="972"/>
      <c r="CP15" s="972"/>
      <c r="CQ15" s="972"/>
      <c r="CR15" s="972"/>
      <c r="CS15" s="972"/>
      <c r="CT15" s="972"/>
      <c r="CU15" s="972"/>
      <c r="CV15" s="972"/>
      <c r="CW15" s="972"/>
      <c r="CX15" s="2381"/>
      <c r="CY15" s="861"/>
      <c r="CZ15" s="861"/>
      <c r="DA15" s="861"/>
      <c r="DB15" s="861"/>
      <c r="DC15" s="861"/>
      <c r="DD15" s="861"/>
      <c r="DE15" s="861"/>
      <c r="DF15" s="861"/>
      <c r="DG15" s="861"/>
      <c r="DH15" s="861"/>
      <c r="DI15" s="861"/>
      <c r="DJ15" s="861"/>
      <c r="DK15" s="2381"/>
      <c r="DL15" s="861"/>
      <c r="DM15" s="861"/>
      <c r="DN15" s="861"/>
      <c r="DO15" s="861"/>
      <c r="DP15" s="861"/>
      <c r="DQ15" s="861"/>
      <c r="DR15" s="861"/>
      <c r="DS15" s="861"/>
      <c r="DT15" s="861"/>
      <c r="DU15" s="861"/>
      <c r="DV15" s="861"/>
      <c r="DW15" s="861"/>
      <c r="DX15" s="2381"/>
      <c r="DY15" s="861"/>
      <c r="DZ15" s="861"/>
      <c r="EA15" s="861"/>
      <c r="EB15" s="861"/>
      <c r="EC15" s="861"/>
      <c r="ED15" s="861"/>
      <c r="EE15" s="861"/>
      <c r="EF15" s="861"/>
      <c r="EG15" s="861"/>
      <c r="EH15" s="861"/>
      <c r="EI15" s="861"/>
      <c r="EJ15" s="862"/>
      <c r="EK15" s="3251"/>
      <c r="EL15" s="2898"/>
      <c r="EM15" s="534"/>
      <c r="EN15" s="534"/>
      <c r="EO15" s="2898"/>
      <c r="EP15" s="2898"/>
    </row>
    <row r="16" spans="1:146" x14ac:dyDescent="0.25">
      <c r="A16" s="3590"/>
      <c r="B16" s="3585"/>
      <c r="C16" s="3247"/>
      <c r="D16" s="2483"/>
      <c r="E16" s="2782"/>
      <c r="F16" s="534"/>
      <c r="G16" s="3253"/>
      <c r="H16" s="2384"/>
      <c r="I16" s="534"/>
      <c r="J16" s="534"/>
      <c r="K16" s="2807"/>
      <c r="L16" s="2852"/>
      <c r="M16" s="2381"/>
      <c r="N16" s="2782"/>
      <c r="O16" s="2782"/>
      <c r="P16" s="2807"/>
      <c r="Q16" s="3633"/>
      <c r="R16" s="3634"/>
      <c r="S16" s="2852"/>
      <c r="T16" s="3596"/>
      <c r="U16" s="682" t="s">
        <v>2204</v>
      </c>
      <c r="V16" s="682"/>
      <c r="W16" s="682" t="s">
        <v>2205</v>
      </c>
      <c r="X16" s="682"/>
      <c r="Y16" s="2346"/>
      <c r="Z16" s="2782"/>
      <c r="AA16" s="2782"/>
      <c r="AB16" s="3627"/>
      <c r="AC16" s="3628"/>
      <c r="AD16" s="3251"/>
      <c r="AE16" s="2782"/>
      <c r="AF16" s="3594"/>
      <c r="AG16" s="2782"/>
      <c r="AH16" s="3591"/>
      <c r="AI16" s="3591"/>
      <c r="AJ16" s="3591"/>
      <c r="AK16" s="3591"/>
      <c r="AL16" s="3591"/>
      <c r="AM16" s="3591"/>
      <c r="AN16" s="2807"/>
      <c r="AO16" s="2852"/>
      <c r="AP16" s="3251"/>
      <c r="AQ16" s="2807"/>
      <c r="AR16" s="2852"/>
      <c r="AS16" s="2807"/>
      <c r="AT16" s="2852"/>
      <c r="AU16" s="2807"/>
      <c r="AV16" s="2852"/>
      <c r="AW16" s="2807"/>
      <c r="AX16" s="3222"/>
      <c r="AY16" s="2381"/>
      <c r="AZ16" s="861"/>
      <c r="BA16" s="861"/>
      <c r="BB16" s="861"/>
      <c r="BC16" s="861"/>
      <c r="BD16" s="861"/>
      <c r="BE16" s="861"/>
      <c r="BF16" s="861"/>
      <c r="BG16" s="861"/>
      <c r="BH16" s="861"/>
      <c r="BI16" s="861"/>
      <c r="BJ16" s="861"/>
      <c r="BK16" s="861"/>
      <c r="BL16" s="861"/>
      <c r="BM16" s="861"/>
      <c r="BN16" s="861"/>
      <c r="BO16" s="861"/>
      <c r="BP16" s="2381"/>
      <c r="BQ16" s="861"/>
      <c r="BR16" s="861"/>
      <c r="BS16" s="861"/>
      <c r="BT16" s="861"/>
      <c r="BU16" s="861"/>
      <c r="BV16" s="861"/>
      <c r="BW16" s="861"/>
      <c r="BX16" s="861"/>
      <c r="BY16" s="861"/>
      <c r="BZ16" s="861"/>
      <c r="CA16" s="861"/>
      <c r="CB16" s="861"/>
      <c r="CC16" s="861"/>
      <c r="CD16" s="861"/>
      <c r="CE16" s="861"/>
      <c r="CF16" s="861"/>
      <c r="CG16" s="2381"/>
      <c r="CH16" s="972"/>
      <c r="CI16" s="972"/>
      <c r="CJ16" s="972"/>
      <c r="CK16" s="972"/>
      <c r="CL16" s="972"/>
      <c r="CM16" s="972"/>
      <c r="CN16" s="972"/>
      <c r="CO16" s="972"/>
      <c r="CP16" s="972"/>
      <c r="CQ16" s="972"/>
      <c r="CR16" s="972"/>
      <c r="CS16" s="972"/>
      <c r="CT16" s="972"/>
      <c r="CU16" s="972"/>
      <c r="CV16" s="972"/>
      <c r="CW16" s="972"/>
      <c r="CX16" s="2381"/>
      <c r="CY16" s="861"/>
      <c r="CZ16" s="861"/>
      <c r="DA16" s="861"/>
      <c r="DB16" s="861"/>
      <c r="DC16" s="861"/>
      <c r="DD16" s="861"/>
      <c r="DE16" s="861"/>
      <c r="DF16" s="861"/>
      <c r="DG16" s="861"/>
      <c r="DH16" s="861"/>
      <c r="DI16" s="861"/>
      <c r="DJ16" s="861"/>
      <c r="DK16" s="2381"/>
      <c r="DL16" s="861"/>
      <c r="DM16" s="861"/>
      <c r="DN16" s="861"/>
      <c r="DO16" s="861"/>
      <c r="DP16" s="861"/>
      <c r="DQ16" s="861"/>
      <c r="DR16" s="861"/>
      <c r="DS16" s="861"/>
      <c r="DT16" s="861"/>
      <c r="DU16" s="861"/>
      <c r="DV16" s="861"/>
      <c r="DW16" s="861"/>
      <c r="DX16" s="2381"/>
      <c r="DY16" s="861"/>
      <c r="DZ16" s="861"/>
      <c r="EA16" s="861"/>
      <c r="EB16" s="861"/>
      <c r="EC16" s="861"/>
      <c r="ED16" s="861"/>
      <c r="EE16" s="861"/>
      <c r="EF16" s="861"/>
      <c r="EG16" s="861"/>
      <c r="EH16" s="861"/>
      <c r="EI16" s="861"/>
      <c r="EJ16" s="862"/>
      <c r="EK16" s="3251"/>
      <c r="EL16" s="2898"/>
      <c r="EM16" s="534"/>
      <c r="EN16" s="534"/>
      <c r="EO16" s="2898"/>
      <c r="EP16" s="2898"/>
    </row>
    <row r="17" spans="1:146" x14ac:dyDescent="0.25">
      <c r="A17" s="3590"/>
      <c r="B17" s="3585"/>
      <c r="C17" s="3247"/>
      <c r="D17" s="2483"/>
      <c r="E17" s="2782"/>
      <c r="F17" s="534"/>
      <c r="G17" s="3253"/>
      <c r="H17" s="2384"/>
      <c r="I17" s="534"/>
      <c r="J17" s="534"/>
      <c r="K17" s="2807"/>
      <c r="L17" s="2852"/>
      <c r="M17" s="2381"/>
      <c r="N17" s="2782"/>
      <c r="O17" s="2782"/>
      <c r="P17" s="2807"/>
      <c r="Q17" s="2527"/>
      <c r="R17" s="2469"/>
      <c r="S17" s="2852"/>
      <c r="T17" s="3596"/>
      <c r="U17" s="682" t="s">
        <v>2206</v>
      </c>
      <c r="V17" s="682"/>
      <c r="W17" s="682"/>
      <c r="X17" s="682"/>
      <c r="Y17" s="2346"/>
      <c r="Z17" s="2782"/>
      <c r="AA17" s="2782"/>
      <c r="AB17" s="3629"/>
      <c r="AC17" s="3630"/>
      <c r="AD17" s="3251"/>
      <c r="AE17" s="2782"/>
      <c r="AF17" s="3594"/>
      <c r="AG17" s="2782"/>
      <c r="AH17" s="3591"/>
      <c r="AI17" s="3591"/>
      <c r="AJ17" s="3591"/>
      <c r="AK17" s="3591"/>
      <c r="AL17" s="3591"/>
      <c r="AM17" s="3591"/>
      <c r="AN17" s="3587"/>
      <c r="AO17" s="3274"/>
      <c r="AP17" s="3251"/>
      <c r="AQ17" s="3587"/>
      <c r="AR17" s="3274"/>
      <c r="AS17" s="3587"/>
      <c r="AT17" s="3274"/>
      <c r="AU17" s="3587"/>
      <c r="AV17" s="3274"/>
      <c r="AW17" s="3587"/>
      <c r="AX17" s="3273"/>
      <c r="AY17" s="2381"/>
      <c r="AZ17" s="861"/>
      <c r="BA17" s="861"/>
      <c r="BB17" s="861"/>
      <c r="BC17" s="861"/>
      <c r="BD17" s="861"/>
      <c r="BE17" s="861"/>
      <c r="BF17" s="861"/>
      <c r="BG17" s="861"/>
      <c r="BH17" s="861"/>
      <c r="BI17" s="861"/>
      <c r="BJ17" s="861"/>
      <c r="BK17" s="861"/>
      <c r="BL17" s="861"/>
      <c r="BM17" s="861"/>
      <c r="BN17" s="861"/>
      <c r="BO17" s="861"/>
      <c r="BP17" s="2381"/>
      <c r="BQ17" s="861"/>
      <c r="BR17" s="861"/>
      <c r="BS17" s="861"/>
      <c r="BT17" s="861"/>
      <c r="BU17" s="861"/>
      <c r="BV17" s="861"/>
      <c r="BW17" s="861"/>
      <c r="BX17" s="861"/>
      <c r="BY17" s="861"/>
      <c r="BZ17" s="861"/>
      <c r="CA17" s="861"/>
      <c r="CB17" s="861"/>
      <c r="CC17" s="861"/>
      <c r="CD17" s="861"/>
      <c r="CE17" s="861"/>
      <c r="CF17" s="861"/>
      <c r="CG17" s="2381"/>
      <c r="CH17" s="972"/>
      <c r="CI17" s="972"/>
      <c r="CJ17" s="972"/>
      <c r="CK17" s="972"/>
      <c r="CL17" s="972"/>
      <c r="CM17" s="972"/>
      <c r="CN17" s="972"/>
      <c r="CO17" s="972"/>
      <c r="CP17" s="972"/>
      <c r="CQ17" s="972"/>
      <c r="CR17" s="972"/>
      <c r="CS17" s="972"/>
      <c r="CT17" s="972"/>
      <c r="CU17" s="972"/>
      <c r="CV17" s="972"/>
      <c r="CW17" s="972"/>
      <c r="CX17" s="2381"/>
      <c r="CY17" s="861"/>
      <c r="CZ17" s="861"/>
      <c r="DA17" s="861"/>
      <c r="DB17" s="861"/>
      <c r="DC17" s="861"/>
      <c r="DD17" s="861"/>
      <c r="DE17" s="861"/>
      <c r="DF17" s="861"/>
      <c r="DG17" s="861"/>
      <c r="DH17" s="861"/>
      <c r="DI17" s="861"/>
      <c r="DJ17" s="861"/>
      <c r="DK17" s="2381"/>
      <c r="DL17" s="861"/>
      <c r="DM17" s="861"/>
      <c r="DN17" s="861"/>
      <c r="DO17" s="861"/>
      <c r="DP17" s="861"/>
      <c r="DQ17" s="861"/>
      <c r="DR17" s="861"/>
      <c r="DS17" s="861"/>
      <c r="DT17" s="861"/>
      <c r="DU17" s="861"/>
      <c r="DV17" s="861"/>
      <c r="DW17" s="861"/>
      <c r="DX17" s="2381"/>
      <c r="DY17" s="861"/>
      <c r="DZ17" s="861"/>
      <c r="EA17" s="861"/>
      <c r="EB17" s="861"/>
      <c r="EC17" s="861"/>
      <c r="ED17" s="861"/>
      <c r="EE17" s="861"/>
      <c r="EF17" s="861"/>
      <c r="EG17" s="861"/>
      <c r="EH17" s="861"/>
      <c r="EI17" s="861"/>
      <c r="EJ17" s="862"/>
      <c r="EK17" s="3251"/>
      <c r="EL17" s="2898"/>
      <c r="EM17" s="534"/>
      <c r="EN17" s="534"/>
      <c r="EO17" s="2898"/>
      <c r="EP17" s="2898"/>
    </row>
    <row r="18" spans="1:146" x14ac:dyDescent="0.25">
      <c r="A18" s="3590"/>
      <c r="B18" s="3586"/>
      <c r="C18" s="3249"/>
      <c r="D18" s="2484"/>
      <c r="E18" s="2483"/>
      <c r="F18" s="534"/>
      <c r="G18" s="3592"/>
      <c r="H18" s="2431"/>
      <c r="I18" s="534"/>
      <c r="J18" s="534"/>
      <c r="K18" s="3587"/>
      <c r="L18" s="3274"/>
      <c r="M18" s="1134"/>
      <c r="N18" s="534"/>
      <c r="O18" s="2843"/>
      <c r="P18" s="3587"/>
      <c r="Q18" s="2534" t="s">
        <v>1582</v>
      </c>
      <c r="R18" s="2534" t="s">
        <v>1583</v>
      </c>
      <c r="S18" s="3274"/>
      <c r="T18" s="3597"/>
      <c r="U18" s="683"/>
      <c r="V18" s="683"/>
      <c r="W18" s="683"/>
      <c r="X18" s="683"/>
      <c r="Y18" s="2360"/>
      <c r="Z18" s="2843"/>
      <c r="AA18" s="2843"/>
      <c r="AB18" s="2535" t="s">
        <v>2207</v>
      </c>
      <c r="AC18" s="2535" t="s">
        <v>2208</v>
      </c>
      <c r="AD18" s="3611"/>
      <c r="AE18" s="2843"/>
      <c r="AF18" s="3595"/>
      <c r="AG18" s="2843"/>
      <c r="AH18" s="864" t="s">
        <v>2207</v>
      </c>
      <c r="AI18" s="864" t="s">
        <v>2208</v>
      </c>
      <c r="AJ18" s="864" t="s">
        <v>2207</v>
      </c>
      <c r="AK18" s="864" t="s">
        <v>2208</v>
      </c>
      <c r="AL18" s="864" t="s">
        <v>2207</v>
      </c>
      <c r="AM18" s="864" t="s">
        <v>2208</v>
      </c>
      <c r="AN18" s="864" t="s">
        <v>2207</v>
      </c>
      <c r="AO18" s="864" t="s">
        <v>2208</v>
      </c>
      <c r="AP18" s="1134"/>
      <c r="AQ18" s="864" t="s">
        <v>2207</v>
      </c>
      <c r="AR18" s="864" t="s">
        <v>2208</v>
      </c>
      <c r="AS18" s="864" t="s">
        <v>2207</v>
      </c>
      <c r="AT18" s="864" t="s">
        <v>2208</v>
      </c>
      <c r="AU18" s="864" t="s">
        <v>2207</v>
      </c>
      <c r="AV18" s="864" t="s">
        <v>2208</v>
      </c>
      <c r="AW18" s="864" t="s">
        <v>2207</v>
      </c>
      <c r="AX18" s="2511" t="s">
        <v>2208</v>
      </c>
      <c r="AY18" s="1134"/>
      <c r="AZ18" s="3612" t="s">
        <v>2077</v>
      </c>
      <c r="BA18" s="3610"/>
      <c r="BB18" s="3610" t="s">
        <v>2078</v>
      </c>
      <c r="BC18" s="3610"/>
      <c r="BD18" s="3610" t="s">
        <v>2079</v>
      </c>
      <c r="BE18" s="3610"/>
      <c r="BF18" s="3610" t="s">
        <v>2080</v>
      </c>
      <c r="BG18" s="3610"/>
      <c r="BH18" s="3610" t="s">
        <v>2209</v>
      </c>
      <c r="BI18" s="3610"/>
      <c r="BJ18" s="3610" t="s">
        <v>2210</v>
      </c>
      <c r="BK18" s="3610"/>
      <c r="BL18" s="3610" t="s">
        <v>2211</v>
      </c>
      <c r="BM18" s="3610"/>
      <c r="BN18" s="3610" t="s">
        <v>2212</v>
      </c>
      <c r="BO18" s="3613"/>
      <c r="BP18" s="1134"/>
      <c r="BQ18" s="3612" t="s">
        <v>2077</v>
      </c>
      <c r="BR18" s="3610"/>
      <c r="BS18" s="3610" t="s">
        <v>2078</v>
      </c>
      <c r="BT18" s="3610"/>
      <c r="BU18" s="3610" t="s">
        <v>2079</v>
      </c>
      <c r="BV18" s="3610"/>
      <c r="BW18" s="3610" t="s">
        <v>2080</v>
      </c>
      <c r="BX18" s="3610"/>
      <c r="BY18" s="3610" t="s">
        <v>2209</v>
      </c>
      <c r="BZ18" s="3610"/>
      <c r="CA18" s="3610" t="s">
        <v>2210</v>
      </c>
      <c r="CB18" s="3610"/>
      <c r="CC18" s="3610" t="s">
        <v>2211</v>
      </c>
      <c r="CD18" s="3610"/>
      <c r="CE18" s="3610" t="s">
        <v>2212</v>
      </c>
      <c r="CF18" s="3613"/>
      <c r="CG18" s="1134"/>
      <c r="CH18" s="3612" t="s">
        <v>2077</v>
      </c>
      <c r="CI18" s="3610"/>
      <c r="CJ18" s="3610" t="s">
        <v>2078</v>
      </c>
      <c r="CK18" s="3610"/>
      <c r="CL18" s="3610" t="s">
        <v>2079</v>
      </c>
      <c r="CM18" s="3610"/>
      <c r="CN18" s="3610" t="s">
        <v>2080</v>
      </c>
      <c r="CO18" s="3610"/>
      <c r="CP18" s="3610" t="s">
        <v>2209</v>
      </c>
      <c r="CQ18" s="3610"/>
      <c r="CR18" s="3610" t="s">
        <v>2210</v>
      </c>
      <c r="CS18" s="3610"/>
      <c r="CT18" s="3610" t="s">
        <v>2211</v>
      </c>
      <c r="CU18" s="3610"/>
      <c r="CV18" s="3610" t="s">
        <v>2212</v>
      </c>
      <c r="CW18" s="3613"/>
      <c r="CX18" s="1134"/>
      <c r="CY18" s="3618" t="s">
        <v>2213</v>
      </c>
      <c r="CZ18" s="3618"/>
      <c r="DA18" s="3618"/>
      <c r="DB18" s="3610" t="s">
        <v>2214</v>
      </c>
      <c r="DC18" s="3610"/>
      <c r="DD18" s="3610"/>
      <c r="DE18" s="3613" t="s">
        <v>2215</v>
      </c>
      <c r="DF18" s="3618"/>
      <c r="DG18" s="3612"/>
      <c r="DH18" s="3610" t="s">
        <v>2216</v>
      </c>
      <c r="DI18" s="3610"/>
      <c r="DJ18" s="3613"/>
      <c r="DK18" s="1134"/>
      <c r="DL18" s="3618" t="s">
        <v>2213</v>
      </c>
      <c r="DM18" s="3618"/>
      <c r="DN18" s="3618"/>
      <c r="DO18" s="3610" t="s">
        <v>2214</v>
      </c>
      <c r="DP18" s="3610"/>
      <c r="DQ18" s="3610"/>
      <c r="DR18" s="3613" t="s">
        <v>2215</v>
      </c>
      <c r="DS18" s="3618"/>
      <c r="DT18" s="3612"/>
      <c r="DU18" s="3610" t="s">
        <v>2216</v>
      </c>
      <c r="DV18" s="3610"/>
      <c r="DW18" s="3613"/>
      <c r="DX18" s="1134"/>
      <c r="DY18" s="3618" t="s">
        <v>2213</v>
      </c>
      <c r="DZ18" s="3618"/>
      <c r="EA18" s="3618"/>
      <c r="EB18" s="3610" t="s">
        <v>2214</v>
      </c>
      <c r="EC18" s="3610"/>
      <c r="ED18" s="3610"/>
      <c r="EE18" s="3613" t="s">
        <v>2215</v>
      </c>
      <c r="EF18" s="3618"/>
      <c r="EG18" s="3612"/>
      <c r="EH18" s="3610" t="s">
        <v>2216</v>
      </c>
      <c r="EI18" s="3610"/>
      <c r="EJ18" s="3610"/>
      <c r="EK18" s="3611"/>
      <c r="EL18" s="3036"/>
      <c r="EM18" s="639"/>
      <c r="EN18" s="639"/>
      <c r="EO18" s="3036"/>
      <c r="EP18" s="3036"/>
    </row>
    <row r="19" spans="1:146" ht="13.5" customHeight="1" x14ac:dyDescent="0.25">
      <c r="A19" s="3589"/>
      <c r="B19" s="1486" t="s">
        <v>2217</v>
      </c>
      <c r="C19" s="1354" t="s">
        <v>2218</v>
      </c>
      <c r="D19" s="865" t="s">
        <v>2218</v>
      </c>
      <c r="E19" s="865" t="s">
        <v>170</v>
      </c>
      <c r="F19" s="2522" t="s">
        <v>346</v>
      </c>
      <c r="G19" s="2522" t="s">
        <v>170</v>
      </c>
      <c r="H19" s="2522" t="s">
        <v>141</v>
      </c>
      <c r="I19" s="2522" t="s">
        <v>1590</v>
      </c>
      <c r="J19" s="2522" t="s">
        <v>346</v>
      </c>
      <c r="K19" s="2522" t="s">
        <v>141</v>
      </c>
      <c r="L19" s="2522" t="s">
        <v>2208</v>
      </c>
      <c r="M19" s="2522" t="s">
        <v>346</v>
      </c>
      <c r="N19" s="2522" t="s">
        <v>170</v>
      </c>
      <c r="O19" s="2522" t="s">
        <v>346</v>
      </c>
      <c r="P19" s="2525" t="s">
        <v>346</v>
      </c>
      <c r="Q19" s="2522" t="s">
        <v>170</v>
      </c>
      <c r="R19" s="2522" t="s">
        <v>170</v>
      </c>
      <c r="S19" s="2528" t="s">
        <v>346</v>
      </c>
      <c r="T19" s="2528" t="s">
        <v>346</v>
      </c>
      <c r="U19" s="2528" t="s">
        <v>346</v>
      </c>
      <c r="V19" s="2528" t="s">
        <v>346</v>
      </c>
      <c r="W19" s="2528" t="s">
        <v>346</v>
      </c>
      <c r="X19" s="2528" t="s">
        <v>346</v>
      </c>
      <c r="Y19" s="2528" t="s">
        <v>2219</v>
      </c>
      <c r="Z19" s="866" t="s">
        <v>346</v>
      </c>
      <c r="AA19" s="867" t="s">
        <v>346</v>
      </c>
      <c r="AB19" s="867" t="s">
        <v>141</v>
      </c>
      <c r="AC19" s="867" t="s">
        <v>346</v>
      </c>
      <c r="AD19" s="867" t="s">
        <v>346</v>
      </c>
      <c r="AE19" s="866" t="s">
        <v>141</v>
      </c>
      <c r="AF19" s="866" t="s">
        <v>346</v>
      </c>
      <c r="AG19" s="866" t="s">
        <v>141</v>
      </c>
      <c r="AH19" s="866" t="s">
        <v>141</v>
      </c>
      <c r="AI19" s="867" t="s">
        <v>346</v>
      </c>
      <c r="AJ19" s="866" t="s">
        <v>141</v>
      </c>
      <c r="AK19" s="867" t="s">
        <v>346</v>
      </c>
      <c r="AL19" s="866" t="s">
        <v>141</v>
      </c>
      <c r="AM19" s="867" t="s">
        <v>346</v>
      </c>
      <c r="AN19" s="866" t="s">
        <v>141</v>
      </c>
      <c r="AO19" s="867" t="s">
        <v>346</v>
      </c>
      <c r="AP19" s="866" t="s">
        <v>346</v>
      </c>
      <c r="AQ19" s="866" t="s">
        <v>141</v>
      </c>
      <c r="AR19" s="867" t="s">
        <v>346</v>
      </c>
      <c r="AS19" s="866" t="s">
        <v>141</v>
      </c>
      <c r="AT19" s="867" t="s">
        <v>346</v>
      </c>
      <c r="AU19" s="866" t="s">
        <v>141</v>
      </c>
      <c r="AV19" s="867" t="s">
        <v>346</v>
      </c>
      <c r="AW19" s="866" t="s">
        <v>141</v>
      </c>
      <c r="AX19" s="867" t="s">
        <v>346</v>
      </c>
      <c r="AY19" s="810" t="s">
        <v>346</v>
      </c>
      <c r="AZ19" s="869" t="s">
        <v>351</v>
      </c>
      <c r="BA19" s="869" t="s">
        <v>838</v>
      </c>
      <c r="BB19" s="869" t="s">
        <v>2220</v>
      </c>
      <c r="BC19" s="869" t="s">
        <v>838</v>
      </c>
      <c r="BD19" s="869" t="s">
        <v>351</v>
      </c>
      <c r="BE19" s="869" t="s">
        <v>838</v>
      </c>
      <c r="BF19" s="869" t="s">
        <v>351</v>
      </c>
      <c r="BG19" s="869" t="s">
        <v>838</v>
      </c>
      <c r="BH19" s="869" t="s">
        <v>351</v>
      </c>
      <c r="BI19" s="869" t="s">
        <v>838</v>
      </c>
      <c r="BJ19" s="869" t="s">
        <v>351</v>
      </c>
      <c r="BK19" s="869" t="s">
        <v>838</v>
      </c>
      <c r="BL19" s="869" t="s">
        <v>351</v>
      </c>
      <c r="BM19" s="869" t="s">
        <v>838</v>
      </c>
      <c r="BN19" s="869" t="s">
        <v>351</v>
      </c>
      <c r="BO19" s="869" t="s">
        <v>838</v>
      </c>
      <c r="BP19" s="2479" t="s">
        <v>346</v>
      </c>
      <c r="BQ19" s="869" t="s">
        <v>351</v>
      </c>
      <c r="BR19" s="869" t="s">
        <v>838</v>
      </c>
      <c r="BS19" s="869" t="s">
        <v>2220</v>
      </c>
      <c r="BT19" s="869" t="s">
        <v>838</v>
      </c>
      <c r="BU19" s="869" t="s">
        <v>351</v>
      </c>
      <c r="BV19" s="869" t="s">
        <v>838</v>
      </c>
      <c r="BW19" s="869" t="s">
        <v>351</v>
      </c>
      <c r="BX19" s="869" t="s">
        <v>838</v>
      </c>
      <c r="BY19" s="869" t="s">
        <v>351</v>
      </c>
      <c r="BZ19" s="869" t="s">
        <v>838</v>
      </c>
      <c r="CA19" s="869" t="s">
        <v>351</v>
      </c>
      <c r="CB19" s="869" t="s">
        <v>838</v>
      </c>
      <c r="CC19" s="869" t="s">
        <v>351</v>
      </c>
      <c r="CD19" s="869" t="s">
        <v>838</v>
      </c>
      <c r="CE19" s="869" t="s">
        <v>351</v>
      </c>
      <c r="CF19" s="869" t="s">
        <v>838</v>
      </c>
      <c r="CG19" s="2479" t="s">
        <v>346</v>
      </c>
      <c r="CH19" s="869" t="s">
        <v>351</v>
      </c>
      <c r="CI19" s="869" t="s">
        <v>838</v>
      </c>
      <c r="CJ19" s="869" t="s">
        <v>2220</v>
      </c>
      <c r="CK19" s="869" t="s">
        <v>838</v>
      </c>
      <c r="CL19" s="869" t="s">
        <v>351</v>
      </c>
      <c r="CM19" s="869" t="s">
        <v>838</v>
      </c>
      <c r="CN19" s="869" t="s">
        <v>351</v>
      </c>
      <c r="CO19" s="869" t="s">
        <v>838</v>
      </c>
      <c r="CP19" s="869" t="s">
        <v>351</v>
      </c>
      <c r="CQ19" s="869" t="s">
        <v>838</v>
      </c>
      <c r="CR19" s="869" t="s">
        <v>351</v>
      </c>
      <c r="CS19" s="869" t="s">
        <v>838</v>
      </c>
      <c r="CT19" s="869" t="s">
        <v>351</v>
      </c>
      <c r="CU19" s="869" t="s">
        <v>838</v>
      </c>
      <c r="CV19" s="869" t="s">
        <v>351</v>
      </c>
      <c r="CW19" s="869" t="s">
        <v>838</v>
      </c>
      <c r="CX19" s="1703" t="s">
        <v>346</v>
      </c>
      <c r="CY19" s="870" t="s">
        <v>2221</v>
      </c>
      <c r="CZ19" s="869" t="s">
        <v>1592</v>
      </c>
      <c r="DA19" s="869" t="s">
        <v>2222</v>
      </c>
      <c r="DB19" s="870" t="s">
        <v>2221</v>
      </c>
      <c r="DC19" s="869" t="s">
        <v>1592</v>
      </c>
      <c r="DD19" s="869" t="s">
        <v>2222</v>
      </c>
      <c r="DE19" s="870" t="s">
        <v>2221</v>
      </c>
      <c r="DF19" s="869" t="s">
        <v>1592</v>
      </c>
      <c r="DG19" s="869" t="s">
        <v>2222</v>
      </c>
      <c r="DH19" s="868" t="s">
        <v>2221</v>
      </c>
      <c r="DI19" s="869" t="s">
        <v>1592</v>
      </c>
      <c r="DJ19" s="869" t="s">
        <v>2222</v>
      </c>
      <c r="DK19" s="1703" t="s">
        <v>346</v>
      </c>
      <c r="DL19" s="870" t="s">
        <v>2221</v>
      </c>
      <c r="DM19" s="869" t="s">
        <v>1592</v>
      </c>
      <c r="DN19" s="869" t="s">
        <v>2222</v>
      </c>
      <c r="DO19" s="870" t="s">
        <v>2221</v>
      </c>
      <c r="DP19" s="869" t="s">
        <v>1592</v>
      </c>
      <c r="DQ19" s="869" t="s">
        <v>2222</v>
      </c>
      <c r="DR19" s="870" t="s">
        <v>2221</v>
      </c>
      <c r="DS19" s="869" t="s">
        <v>1592</v>
      </c>
      <c r="DT19" s="869" t="s">
        <v>2222</v>
      </c>
      <c r="DU19" s="868" t="s">
        <v>2221</v>
      </c>
      <c r="DV19" s="869" t="s">
        <v>1592</v>
      </c>
      <c r="DW19" s="869" t="s">
        <v>2222</v>
      </c>
      <c r="DX19" s="1703" t="s">
        <v>346</v>
      </c>
      <c r="DY19" s="870" t="s">
        <v>2221</v>
      </c>
      <c r="DZ19" s="869" t="s">
        <v>1592</v>
      </c>
      <c r="EA19" s="869" t="s">
        <v>2222</v>
      </c>
      <c r="EB19" s="870" t="s">
        <v>2221</v>
      </c>
      <c r="EC19" s="869" t="s">
        <v>1592</v>
      </c>
      <c r="ED19" s="869" t="s">
        <v>2222</v>
      </c>
      <c r="EE19" s="870" t="s">
        <v>2221</v>
      </c>
      <c r="EF19" s="869" t="s">
        <v>1592</v>
      </c>
      <c r="EG19" s="869" t="s">
        <v>2222</v>
      </c>
      <c r="EH19" s="868" t="s">
        <v>2221</v>
      </c>
      <c r="EI19" s="869" t="s">
        <v>1592</v>
      </c>
      <c r="EJ19" s="869" t="s">
        <v>2222</v>
      </c>
      <c r="EK19" s="867" t="s">
        <v>346</v>
      </c>
      <c r="EL19" s="2522" t="s">
        <v>346</v>
      </c>
      <c r="EM19" s="2522" t="s">
        <v>13</v>
      </c>
      <c r="EN19" s="2522" t="s">
        <v>16</v>
      </c>
      <c r="EO19" s="2522" t="s">
        <v>2223</v>
      </c>
      <c r="EP19" s="2522" t="s">
        <v>346</v>
      </c>
    </row>
    <row r="20" spans="1:146" ht="18.25" customHeight="1" x14ac:dyDescent="0.3">
      <c r="A20" s="1353" t="s">
        <v>680</v>
      </c>
      <c r="B20" s="140"/>
      <c r="C20" s="1355"/>
      <c r="D20" s="140"/>
      <c r="E20" s="875"/>
      <c r="F20" s="142"/>
      <c r="G20" s="142"/>
      <c r="H20" s="871"/>
      <c r="I20" s="142"/>
      <c r="J20" s="142"/>
      <c r="K20" s="142"/>
      <c r="L20" s="142"/>
      <c r="M20" s="142"/>
      <c r="N20" s="142"/>
      <c r="O20" s="142"/>
      <c r="P20" s="142"/>
      <c r="Q20" s="1400"/>
      <c r="R20" s="1400"/>
      <c r="S20" s="535"/>
      <c r="T20" s="535"/>
      <c r="U20" s="535"/>
      <c r="V20" s="535"/>
      <c r="W20" s="535"/>
      <c r="X20" s="535"/>
      <c r="Y20" s="535"/>
      <c r="Z20" s="872"/>
      <c r="AA20" s="814"/>
      <c r="AB20" s="814"/>
      <c r="AC20" s="814"/>
      <c r="AD20" s="814"/>
      <c r="AE20" s="872"/>
      <c r="AF20" s="872"/>
      <c r="AG20" s="872"/>
      <c r="AH20" s="814"/>
      <c r="AI20" s="814"/>
      <c r="AJ20" s="814"/>
      <c r="AK20" s="814"/>
      <c r="AL20" s="814"/>
      <c r="AM20" s="814"/>
      <c r="AN20" s="814"/>
      <c r="AO20" s="814"/>
      <c r="AP20" s="872"/>
      <c r="AQ20" s="814"/>
      <c r="AR20" s="814"/>
      <c r="AS20" s="814"/>
      <c r="AT20" s="814"/>
      <c r="AU20" s="814"/>
      <c r="AV20" s="814"/>
      <c r="AW20" s="814"/>
      <c r="AX20" s="814"/>
      <c r="AY20" s="810"/>
      <c r="AZ20" s="814"/>
      <c r="BA20" s="814"/>
      <c r="BB20" s="814"/>
      <c r="BC20" s="814"/>
      <c r="BD20" s="814"/>
      <c r="BE20" s="814"/>
      <c r="BF20" s="814"/>
      <c r="BG20" s="814"/>
      <c r="BH20" s="814"/>
      <c r="BI20" s="814"/>
      <c r="BJ20" s="814"/>
      <c r="BK20" s="814"/>
      <c r="BL20" s="814"/>
      <c r="BM20" s="814"/>
      <c r="BN20" s="814"/>
      <c r="BO20" s="814"/>
      <c r="BP20" s="810"/>
      <c r="BQ20" s="814"/>
      <c r="BR20" s="814"/>
      <c r="BS20" s="814"/>
      <c r="BT20" s="814"/>
      <c r="BU20" s="814"/>
      <c r="BV20" s="814"/>
      <c r="BW20" s="814"/>
      <c r="BX20" s="814"/>
      <c r="BY20" s="814"/>
      <c r="BZ20" s="814"/>
      <c r="CA20" s="814"/>
      <c r="CB20" s="814"/>
      <c r="CC20" s="814"/>
      <c r="CD20" s="814"/>
      <c r="CE20" s="814"/>
      <c r="CF20" s="814"/>
      <c r="CG20" s="810"/>
      <c r="CH20" s="814"/>
      <c r="CI20" s="814"/>
      <c r="CJ20" s="814"/>
      <c r="CK20" s="814"/>
      <c r="CL20" s="814"/>
      <c r="CM20" s="814"/>
      <c r="CN20" s="814"/>
      <c r="CO20" s="814"/>
      <c r="CP20" s="814"/>
      <c r="CQ20" s="814"/>
      <c r="CR20" s="814"/>
      <c r="CS20" s="814"/>
      <c r="CT20" s="814"/>
      <c r="CU20" s="814"/>
      <c r="CV20" s="814"/>
      <c r="CW20" s="814"/>
      <c r="CX20" s="810"/>
      <c r="CY20" s="814"/>
      <c r="CZ20" s="814"/>
      <c r="DA20" s="814"/>
      <c r="DB20" s="814"/>
      <c r="DC20" s="814"/>
      <c r="DD20" s="814"/>
      <c r="DE20" s="814"/>
      <c r="DF20" s="814"/>
      <c r="DG20" s="814"/>
      <c r="DH20" s="814"/>
      <c r="DI20" s="814"/>
      <c r="DJ20" s="814"/>
      <c r="DK20" s="810"/>
      <c r="DL20" s="814"/>
      <c r="DM20" s="814"/>
      <c r="DN20" s="814"/>
      <c r="DO20" s="814"/>
      <c r="DP20" s="814"/>
      <c r="DQ20" s="814"/>
      <c r="DR20" s="814"/>
      <c r="DS20" s="814"/>
      <c r="DT20" s="814"/>
      <c r="DU20" s="814"/>
      <c r="DV20" s="814"/>
      <c r="DW20" s="814"/>
      <c r="DX20" s="810"/>
      <c r="DY20" s="814"/>
      <c r="DZ20" s="814"/>
      <c r="EA20" s="814"/>
      <c r="EB20" s="814"/>
      <c r="EC20" s="814"/>
      <c r="ED20" s="814"/>
      <c r="EE20" s="814"/>
      <c r="EF20" s="814"/>
      <c r="EG20" s="814"/>
      <c r="EH20" s="814"/>
      <c r="EI20" s="814"/>
      <c r="EJ20" s="814"/>
      <c r="EK20" s="814"/>
      <c r="EL20" s="871"/>
      <c r="EM20" s="871"/>
      <c r="EN20" s="871"/>
      <c r="EO20" s="871"/>
      <c r="EP20" s="871"/>
    </row>
    <row r="21" spans="1:146" ht="18.25" customHeight="1" x14ac:dyDescent="0.3">
      <c r="A21" s="1353" t="s">
        <v>681</v>
      </c>
      <c r="B21" s="140"/>
      <c r="C21" s="1355"/>
      <c r="D21" s="140"/>
      <c r="E21" s="875"/>
      <c r="F21" s="142"/>
      <c r="G21" s="142"/>
      <c r="H21" s="871"/>
      <c r="I21" s="142"/>
      <c r="J21" s="142"/>
      <c r="K21" s="142"/>
      <c r="L21" s="142"/>
      <c r="M21" s="142"/>
      <c r="N21" s="142"/>
      <c r="O21" s="142"/>
      <c r="P21" s="142"/>
      <c r="Q21" s="535"/>
      <c r="R21" s="535"/>
      <c r="S21" s="535"/>
      <c r="T21" s="535"/>
      <c r="U21" s="535"/>
      <c r="V21" s="535"/>
      <c r="W21" s="535"/>
      <c r="X21" s="535"/>
      <c r="Y21" s="535"/>
      <c r="Z21" s="872"/>
      <c r="AA21" s="814"/>
      <c r="AB21" s="814"/>
      <c r="AC21" s="814"/>
      <c r="AD21" s="814"/>
      <c r="AE21" s="872"/>
      <c r="AF21" s="872"/>
      <c r="AG21" s="872"/>
      <c r="AH21" s="814"/>
      <c r="AI21" s="814"/>
      <c r="AJ21" s="814"/>
      <c r="AK21" s="814"/>
      <c r="AL21" s="814"/>
      <c r="AM21" s="814"/>
      <c r="AN21" s="814"/>
      <c r="AO21" s="814"/>
      <c r="AP21" s="872"/>
      <c r="AQ21" s="814"/>
      <c r="AR21" s="814"/>
      <c r="AS21" s="814"/>
      <c r="AT21" s="814"/>
      <c r="AU21" s="814"/>
      <c r="AV21" s="814"/>
      <c r="AW21" s="814"/>
      <c r="AX21" s="814"/>
      <c r="AY21" s="873"/>
      <c r="AZ21" s="874"/>
      <c r="BA21" s="874"/>
      <c r="BB21" s="874"/>
      <c r="BC21" s="874"/>
      <c r="BD21" s="874"/>
      <c r="BE21" s="874"/>
      <c r="BF21" s="874"/>
      <c r="BG21" s="874"/>
      <c r="BH21" s="874"/>
      <c r="BI21" s="874"/>
      <c r="BJ21" s="874"/>
      <c r="BK21" s="874"/>
      <c r="BL21" s="874"/>
      <c r="BM21" s="874"/>
      <c r="BN21" s="874"/>
      <c r="BO21" s="874"/>
      <c r="BP21" s="873"/>
      <c r="BQ21" s="874"/>
      <c r="BR21" s="874"/>
      <c r="BS21" s="874"/>
      <c r="BT21" s="874"/>
      <c r="BU21" s="874"/>
      <c r="BV21" s="874"/>
      <c r="BW21" s="874"/>
      <c r="BX21" s="874"/>
      <c r="BY21" s="874"/>
      <c r="BZ21" s="874"/>
      <c r="CA21" s="874"/>
      <c r="CB21" s="874"/>
      <c r="CC21" s="874"/>
      <c r="CD21" s="874"/>
      <c r="CE21" s="874"/>
      <c r="CF21" s="874"/>
      <c r="CG21" s="873"/>
      <c r="CH21" s="874"/>
      <c r="CI21" s="874"/>
      <c r="CJ21" s="874"/>
      <c r="CK21" s="874"/>
      <c r="CL21" s="874"/>
      <c r="CM21" s="874"/>
      <c r="CN21" s="874"/>
      <c r="CO21" s="874"/>
      <c r="CP21" s="874"/>
      <c r="CQ21" s="874"/>
      <c r="CR21" s="874"/>
      <c r="CS21" s="874"/>
      <c r="CT21" s="874"/>
      <c r="CU21" s="874"/>
      <c r="CV21" s="874"/>
      <c r="CW21" s="874"/>
      <c r="CX21" s="873"/>
      <c r="CY21" s="874"/>
      <c r="CZ21" s="874"/>
      <c r="DA21" s="874"/>
      <c r="DB21" s="874"/>
      <c r="DC21" s="874"/>
      <c r="DD21" s="874"/>
      <c r="DE21" s="874"/>
      <c r="DF21" s="874"/>
      <c r="DG21" s="874"/>
      <c r="DH21" s="874"/>
      <c r="DI21" s="874"/>
      <c r="DJ21" s="874"/>
      <c r="DK21" s="873"/>
      <c r="DL21" s="874"/>
      <c r="DM21" s="874"/>
      <c r="DN21" s="874"/>
      <c r="DO21" s="874"/>
      <c r="DP21" s="874"/>
      <c r="DQ21" s="874"/>
      <c r="DR21" s="874"/>
      <c r="DS21" s="874"/>
      <c r="DT21" s="874"/>
      <c r="DU21" s="874"/>
      <c r="DV21" s="874"/>
      <c r="DW21" s="874"/>
      <c r="DX21" s="873"/>
      <c r="DY21" s="874"/>
      <c r="DZ21" s="874"/>
      <c r="EA21" s="874"/>
      <c r="EB21" s="874"/>
      <c r="EC21" s="874"/>
      <c r="ED21" s="874"/>
      <c r="EE21" s="874"/>
      <c r="EF21" s="874"/>
      <c r="EG21" s="874"/>
      <c r="EH21" s="874"/>
      <c r="EI21" s="874"/>
      <c r="EJ21" s="874"/>
      <c r="EK21" s="814"/>
      <c r="EL21" s="871"/>
      <c r="EM21" s="871"/>
      <c r="EN21" s="871"/>
      <c r="EO21" s="871"/>
      <c r="EP21" s="871"/>
    </row>
    <row r="22" spans="1:146" ht="18.25" customHeight="1" x14ac:dyDescent="0.3">
      <c r="A22" s="1353" t="s">
        <v>1235</v>
      </c>
      <c r="B22" s="140"/>
      <c r="C22" s="1355"/>
      <c r="D22" s="140"/>
      <c r="E22" s="875"/>
      <c r="F22" s="142"/>
      <c r="G22" s="142"/>
      <c r="H22" s="871"/>
      <c r="I22" s="142"/>
      <c r="J22" s="142"/>
      <c r="K22" s="142"/>
      <c r="L22" s="142"/>
      <c r="M22" s="142"/>
      <c r="N22" s="142"/>
      <c r="O22" s="142"/>
      <c r="P22" s="142"/>
      <c r="Q22" s="535"/>
      <c r="R22" s="535"/>
      <c r="S22" s="535"/>
      <c r="T22" s="535"/>
      <c r="U22" s="535"/>
      <c r="V22" s="535"/>
      <c r="W22" s="535"/>
      <c r="X22" s="535"/>
      <c r="Y22" s="535"/>
      <c r="Z22" s="872"/>
      <c r="AA22" s="814"/>
      <c r="AB22" s="814"/>
      <c r="AC22" s="814"/>
      <c r="AD22" s="814"/>
      <c r="AE22" s="872"/>
      <c r="AF22" s="872"/>
      <c r="AG22" s="872"/>
      <c r="AH22" s="814"/>
      <c r="AI22" s="814"/>
      <c r="AJ22" s="814"/>
      <c r="AK22" s="814"/>
      <c r="AL22" s="814"/>
      <c r="AM22" s="814"/>
      <c r="AN22" s="814"/>
      <c r="AO22" s="814"/>
      <c r="AP22" s="872"/>
      <c r="AQ22" s="814"/>
      <c r="AR22" s="814"/>
      <c r="AS22" s="814"/>
      <c r="AT22" s="814"/>
      <c r="AU22" s="814"/>
      <c r="AV22" s="814"/>
      <c r="AW22" s="814"/>
      <c r="AX22" s="814"/>
      <c r="AY22" s="1701"/>
      <c r="AZ22" s="874"/>
      <c r="BA22" s="874"/>
      <c r="BB22" s="874"/>
      <c r="BC22" s="874"/>
      <c r="BD22" s="874"/>
      <c r="BE22" s="874"/>
      <c r="BF22" s="874"/>
      <c r="BG22" s="874"/>
      <c r="BH22" s="874"/>
      <c r="BI22" s="874"/>
      <c r="BJ22" s="874"/>
      <c r="BK22" s="874"/>
      <c r="BL22" s="874"/>
      <c r="BM22" s="874"/>
      <c r="BN22" s="874"/>
      <c r="BO22" s="874"/>
      <c r="BP22" s="873"/>
      <c r="BQ22" s="874"/>
      <c r="BR22" s="874"/>
      <c r="BS22" s="874"/>
      <c r="BT22" s="874"/>
      <c r="BU22" s="874"/>
      <c r="BV22" s="874"/>
      <c r="BW22" s="874"/>
      <c r="BX22" s="874"/>
      <c r="BY22" s="874"/>
      <c r="BZ22" s="874"/>
      <c r="CA22" s="874"/>
      <c r="CB22" s="874"/>
      <c r="CC22" s="874"/>
      <c r="CD22" s="874"/>
      <c r="CE22" s="874"/>
      <c r="CF22" s="874"/>
      <c r="CG22" s="873"/>
      <c r="CH22" s="874"/>
      <c r="CI22" s="874"/>
      <c r="CJ22" s="874"/>
      <c r="CK22" s="874"/>
      <c r="CL22" s="874"/>
      <c r="CM22" s="874"/>
      <c r="CN22" s="874"/>
      <c r="CO22" s="874"/>
      <c r="CP22" s="874"/>
      <c r="CQ22" s="874"/>
      <c r="CR22" s="874"/>
      <c r="CS22" s="874"/>
      <c r="CT22" s="874"/>
      <c r="CU22" s="874"/>
      <c r="CV22" s="874"/>
      <c r="CW22" s="874"/>
      <c r="CX22" s="873"/>
      <c r="CY22" s="874"/>
      <c r="CZ22" s="874"/>
      <c r="DA22" s="874"/>
      <c r="DB22" s="874"/>
      <c r="DC22" s="874"/>
      <c r="DD22" s="874"/>
      <c r="DE22" s="874"/>
      <c r="DF22" s="874"/>
      <c r="DG22" s="874"/>
      <c r="DH22" s="874"/>
      <c r="DI22" s="874"/>
      <c r="DJ22" s="874"/>
      <c r="DK22" s="873"/>
      <c r="DL22" s="874"/>
      <c r="DM22" s="874"/>
      <c r="DN22" s="874"/>
      <c r="DO22" s="874"/>
      <c r="DP22" s="874"/>
      <c r="DQ22" s="874"/>
      <c r="DR22" s="874"/>
      <c r="DS22" s="874"/>
      <c r="DT22" s="874"/>
      <c r="DU22" s="874"/>
      <c r="DV22" s="874"/>
      <c r="DW22" s="874"/>
      <c r="DX22" s="873"/>
      <c r="DY22" s="874"/>
      <c r="DZ22" s="874"/>
      <c r="EA22" s="874"/>
      <c r="EB22" s="874"/>
      <c r="EC22" s="874"/>
      <c r="ED22" s="874"/>
      <c r="EE22" s="874"/>
      <c r="EF22" s="874"/>
      <c r="EG22" s="874"/>
      <c r="EH22" s="874"/>
      <c r="EI22" s="874"/>
      <c r="EJ22" s="874"/>
      <c r="EK22" s="814"/>
      <c r="EL22" s="871"/>
      <c r="EM22" s="871"/>
      <c r="EN22" s="871"/>
      <c r="EO22" s="871"/>
      <c r="EP22" s="871"/>
    </row>
    <row r="23" spans="1:146" ht="18.25" customHeight="1" x14ac:dyDescent="0.3">
      <c r="A23" s="1353" t="s">
        <v>1237</v>
      </c>
      <c r="B23" s="140"/>
      <c r="C23" s="1355"/>
      <c r="D23" s="140"/>
      <c r="E23" s="875"/>
      <c r="F23" s="142"/>
      <c r="G23" s="142"/>
      <c r="H23" s="871"/>
      <c r="I23" s="142"/>
      <c r="J23" s="142"/>
      <c r="K23" s="142"/>
      <c r="L23" s="142"/>
      <c r="M23" s="142"/>
      <c r="N23" s="142"/>
      <c r="O23" s="142"/>
      <c r="P23" s="142"/>
      <c r="Q23" s="535"/>
      <c r="R23" s="535"/>
      <c r="S23" s="535"/>
      <c r="T23" s="535"/>
      <c r="U23" s="535"/>
      <c r="V23" s="535"/>
      <c r="W23" s="535"/>
      <c r="X23" s="535"/>
      <c r="Y23" s="535"/>
      <c r="Z23" s="872"/>
      <c r="AA23" s="814"/>
      <c r="AB23" s="814"/>
      <c r="AC23" s="814"/>
      <c r="AD23" s="814"/>
      <c r="AE23" s="872"/>
      <c r="AF23" s="872"/>
      <c r="AG23" s="872"/>
      <c r="AH23" s="814"/>
      <c r="AI23" s="814"/>
      <c r="AJ23" s="814"/>
      <c r="AK23" s="814"/>
      <c r="AL23" s="814"/>
      <c r="AM23" s="814"/>
      <c r="AN23" s="814"/>
      <c r="AO23" s="814"/>
      <c r="AP23" s="872"/>
      <c r="AQ23" s="814"/>
      <c r="AR23" s="814"/>
      <c r="AS23" s="814"/>
      <c r="AT23" s="814"/>
      <c r="AU23" s="814"/>
      <c r="AV23" s="814"/>
      <c r="AW23" s="814"/>
      <c r="AX23" s="814"/>
      <c r="AY23" s="873"/>
      <c r="AZ23" s="874"/>
      <c r="BA23" s="874"/>
      <c r="BB23" s="874"/>
      <c r="BC23" s="874"/>
      <c r="BD23" s="874"/>
      <c r="BE23" s="874"/>
      <c r="BF23" s="874"/>
      <c r="BG23" s="874"/>
      <c r="BH23" s="874"/>
      <c r="BI23" s="874"/>
      <c r="BJ23" s="874"/>
      <c r="BK23" s="874"/>
      <c r="BL23" s="874"/>
      <c r="BM23" s="874"/>
      <c r="BN23" s="874"/>
      <c r="BO23" s="874"/>
      <c r="BP23" s="873"/>
      <c r="BQ23" s="874"/>
      <c r="BR23" s="874"/>
      <c r="BS23" s="874"/>
      <c r="BT23" s="874"/>
      <c r="BU23" s="874"/>
      <c r="BV23" s="874"/>
      <c r="BW23" s="874"/>
      <c r="BX23" s="874"/>
      <c r="BY23" s="874"/>
      <c r="BZ23" s="874"/>
      <c r="CA23" s="874"/>
      <c r="CB23" s="874"/>
      <c r="CC23" s="874"/>
      <c r="CD23" s="874"/>
      <c r="CE23" s="874"/>
      <c r="CF23" s="874"/>
      <c r="CG23" s="873"/>
      <c r="CH23" s="874"/>
      <c r="CI23" s="874"/>
      <c r="CJ23" s="874"/>
      <c r="CK23" s="874"/>
      <c r="CL23" s="874"/>
      <c r="CM23" s="874"/>
      <c r="CN23" s="874"/>
      <c r="CO23" s="874"/>
      <c r="CP23" s="874"/>
      <c r="CQ23" s="874"/>
      <c r="CR23" s="874"/>
      <c r="CS23" s="874"/>
      <c r="CT23" s="874"/>
      <c r="CU23" s="874"/>
      <c r="CV23" s="874"/>
      <c r="CW23" s="874"/>
      <c r="CX23" s="873"/>
      <c r="CY23" s="874"/>
      <c r="CZ23" s="874"/>
      <c r="DA23" s="874"/>
      <c r="DB23" s="874"/>
      <c r="DC23" s="874"/>
      <c r="DD23" s="874"/>
      <c r="DE23" s="874"/>
      <c r="DF23" s="874"/>
      <c r="DG23" s="874"/>
      <c r="DH23" s="874"/>
      <c r="DI23" s="874"/>
      <c r="DJ23" s="874"/>
      <c r="DK23" s="873"/>
      <c r="DL23" s="874"/>
      <c r="DM23" s="874"/>
      <c r="DN23" s="874"/>
      <c r="DO23" s="874"/>
      <c r="DP23" s="874"/>
      <c r="DQ23" s="874"/>
      <c r="DR23" s="874"/>
      <c r="DS23" s="874"/>
      <c r="DT23" s="874"/>
      <c r="DU23" s="874"/>
      <c r="DV23" s="874"/>
      <c r="DW23" s="874"/>
      <c r="DX23" s="873"/>
      <c r="DY23" s="874"/>
      <c r="DZ23" s="874"/>
      <c r="EA23" s="874"/>
      <c r="EB23" s="874"/>
      <c r="EC23" s="874"/>
      <c r="ED23" s="874"/>
      <c r="EE23" s="874"/>
      <c r="EF23" s="874"/>
      <c r="EG23" s="874"/>
      <c r="EH23" s="874"/>
      <c r="EI23" s="874"/>
      <c r="EJ23" s="874"/>
      <c r="EK23" s="814"/>
      <c r="EL23" s="871"/>
      <c r="EM23" s="871"/>
      <c r="EN23" s="871"/>
      <c r="EO23" s="871"/>
      <c r="EP23" s="871"/>
    </row>
    <row r="24" spans="1:146" ht="18.25" customHeight="1" x14ac:dyDescent="0.3">
      <c r="A24" s="1353" t="s">
        <v>1239</v>
      </c>
      <c r="B24" s="140"/>
      <c r="C24" s="1355"/>
      <c r="D24" s="140"/>
      <c r="E24" s="875"/>
      <c r="F24" s="142"/>
      <c r="G24" s="142"/>
      <c r="H24" s="871"/>
      <c r="I24" s="142"/>
      <c r="J24" s="142"/>
      <c r="K24" s="142"/>
      <c r="L24" s="142"/>
      <c r="M24" s="142"/>
      <c r="N24" s="142"/>
      <c r="O24" s="142"/>
      <c r="P24" s="142"/>
      <c r="Q24" s="535"/>
      <c r="R24" s="535"/>
      <c r="S24" s="535"/>
      <c r="T24" s="535"/>
      <c r="U24" s="535"/>
      <c r="V24" s="535"/>
      <c r="W24" s="535"/>
      <c r="X24" s="535"/>
      <c r="Y24" s="535"/>
      <c r="Z24" s="872"/>
      <c r="AA24" s="814"/>
      <c r="AB24" s="814"/>
      <c r="AC24" s="814"/>
      <c r="AD24" s="814"/>
      <c r="AE24" s="872"/>
      <c r="AF24" s="872"/>
      <c r="AG24" s="872"/>
      <c r="AH24" s="814"/>
      <c r="AI24" s="814"/>
      <c r="AJ24" s="814"/>
      <c r="AK24" s="814"/>
      <c r="AL24" s="814"/>
      <c r="AM24" s="814"/>
      <c r="AN24" s="814"/>
      <c r="AO24" s="814"/>
      <c r="AP24" s="872"/>
      <c r="AQ24" s="814"/>
      <c r="AR24" s="814"/>
      <c r="AS24" s="814"/>
      <c r="AT24" s="814"/>
      <c r="AU24" s="814"/>
      <c r="AV24" s="814"/>
      <c r="AW24" s="814"/>
      <c r="AX24" s="814"/>
      <c r="AY24" s="873"/>
      <c r="AZ24" s="874"/>
      <c r="BA24" s="874"/>
      <c r="BB24" s="874"/>
      <c r="BC24" s="874"/>
      <c r="BD24" s="874"/>
      <c r="BE24" s="874"/>
      <c r="BF24" s="874"/>
      <c r="BG24" s="874"/>
      <c r="BH24" s="874"/>
      <c r="BI24" s="874"/>
      <c r="BJ24" s="874"/>
      <c r="BK24" s="874"/>
      <c r="BL24" s="874"/>
      <c r="BM24" s="874"/>
      <c r="BN24" s="874"/>
      <c r="BO24" s="874"/>
      <c r="BP24" s="873"/>
      <c r="BQ24" s="874"/>
      <c r="BR24" s="874"/>
      <c r="BS24" s="874"/>
      <c r="BT24" s="874"/>
      <c r="BU24" s="874"/>
      <c r="BV24" s="874"/>
      <c r="BW24" s="874"/>
      <c r="BX24" s="874"/>
      <c r="BY24" s="874"/>
      <c r="BZ24" s="874"/>
      <c r="CA24" s="874"/>
      <c r="CB24" s="874"/>
      <c r="CC24" s="874"/>
      <c r="CD24" s="874"/>
      <c r="CE24" s="874"/>
      <c r="CF24" s="874"/>
      <c r="CG24" s="873"/>
      <c r="CH24" s="874"/>
      <c r="CI24" s="874"/>
      <c r="CJ24" s="874"/>
      <c r="CK24" s="874"/>
      <c r="CL24" s="874"/>
      <c r="CM24" s="874"/>
      <c r="CN24" s="874"/>
      <c r="CO24" s="874"/>
      <c r="CP24" s="874"/>
      <c r="CQ24" s="874"/>
      <c r="CR24" s="874"/>
      <c r="CS24" s="874"/>
      <c r="CT24" s="874"/>
      <c r="CU24" s="874"/>
      <c r="CV24" s="874"/>
      <c r="CW24" s="874"/>
      <c r="CX24" s="873"/>
      <c r="CY24" s="874"/>
      <c r="CZ24" s="874"/>
      <c r="DA24" s="874"/>
      <c r="DB24" s="874"/>
      <c r="DC24" s="874"/>
      <c r="DD24" s="874"/>
      <c r="DE24" s="874"/>
      <c r="DF24" s="874"/>
      <c r="DG24" s="874"/>
      <c r="DH24" s="874"/>
      <c r="DI24" s="874"/>
      <c r="DJ24" s="874"/>
      <c r="DK24" s="873"/>
      <c r="DL24" s="874"/>
      <c r="DM24" s="874"/>
      <c r="DN24" s="874"/>
      <c r="DO24" s="874"/>
      <c r="DP24" s="874"/>
      <c r="DQ24" s="874"/>
      <c r="DR24" s="874"/>
      <c r="DS24" s="874"/>
      <c r="DT24" s="874"/>
      <c r="DU24" s="874"/>
      <c r="DV24" s="874"/>
      <c r="DW24" s="874"/>
      <c r="DX24" s="873"/>
      <c r="DY24" s="874"/>
      <c r="DZ24" s="874"/>
      <c r="EA24" s="874"/>
      <c r="EB24" s="874"/>
      <c r="EC24" s="874"/>
      <c r="ED24" s="874"/>
      <c r="EE24" s="874"/>
      <c r="EF24" s="874"/>
      <c r="EG24" s="874"/>
      <c r="EH24" s="874"/>
      <c r="EI24" s="874"/>
      <c r="EJ24" s="874"/>
      <c r="EK24" s="814"/>
      <c r="EL24" s="871"/>
      <c r="EM24" s="871"/>
      <c r="EN24" s="871"/>
      <c r="EO24" s="871"/>
      <c r="EP24" s="871"/>
    </row>
    <row r="25" spans="1:146" ht="18.25" customHeight="1" x14ac:dyDescent="0.3">
      <c r="A25" s="1353" t="s">
        <v>1241</v>
      </c>
      <c r="B25" s="140"/>
      <c r="C25" s="1355"/>
      <c r="D25" s="140"/>
      <c r="E25" s="875"/>
      <c r="F25" s="142"/>
      <c r="G25" s="142"/>
      <c r="H25" s="871"/>
      <c r="I25" s="142"/>
      <c r="J25" s="142"/>
      <c r="K25" s="142"/>
      <c r="L25" s="142"/>
      <c r="M25" s="142"/>
      <c r="N25" s="142"/>
      <c r="O25" s="142"/>
      <c r="P25" s="142"/>
      <c r="Q25" s="535"/>
      <c r="R25" s="535"/>
      <c r="S25" s="535"/>
      <c r="T25" s="535"/>
      <c r="U25" s="535"/>
      <c r="V25" s="535"/>
      <c r="W25" s="535"/>
      <c r="X25" s="535"/>
      <c r="Y25" s="535"/>
      <c r="Z25" s="872"/>
      <c r="AA25" s="814"/>
      <c r="AB25" s="814"/>
      <c r="AC25" s="814"/>
      <c r="AD25" s="814"/>
      <c r="AE25" s="872"/>
      <c r="AF25" s="872"/>
      <c r="AG25" s="872"/>
      <c r="AH25" s="814"/>
      <c r="AI25" s="814"/>
      <c r="AJ25" s="814"/>
      <c r="AK25" s="814"/>
      <c r="AL25" s="814"/>
      <c r="AM25" s="814"/>
      <c r="AN25" s="814"/>
      <c r="AO25" s="814"/>
      <c r="AP25" s="872"/>
      <c r="AQ25" s="814"/>
      <c r="AR25" s="814"/>
      <c r="AS25" s="814"/>
      <c r="AT25" s="814"/>
      <c r="AU25" s="814"/>
      <c r="AV25" s="814"/>
      <c r="AW25" s="814"/>
      <c r="AX25" s="814"/>
      <c r="AY25" s="873"/>
      <c r="AZ25" s="874"/>
      <c r="BA25" s="874"/>
      <c r="BB25" s="874"/>
      <c r="BC25" s="874"/>
      <c r="BD25" s="874"/>
      <c r="BE25" s="874"/>
      <c r="BF25" s="874"/>
      <c r="BG25" s="874"/>
      <c r="BH25" s="874"/>
      <c r="BI25" s="874"/>
      <c r="BJ25" s="874"/>
      <c r="BK25" s="874"/>
      <c r="BL25" s="874"/>
      <c r="BM25" s="874"/>
      <c r="BN25" s="874"/>
      <c r="BO25" s="874"/>
      <c r="BP25" s="873"/>
      <c r="BQ25" s="874"/>
      <c r="BR25" s="874"/>
      <c r="BS25" s="874"/>
      <c r="BT25" s="874"/>
      <c r="BU25" s="874"/>
      <c r="BV25" s="874"/>
      <c r="BW25" s="874"/>
      <c r="BX25" s="874"/>
      <c r="BY25" s="874"/>
      <c r="BZ25" s="874"/>
      <c r="CA25" s="874"/>
      <c r="CB25" s="874"/>
      <c r="CC25" s="874"/>
      <c r="CD25" s="874"/>
      <c r="CE25" s="874"/>
      <c r="CF25" s="874"/>
      <c r="CG25" s="873"/>
      <c r="CH25" s="874"/>
      <c r="CI25" s="874"/>
      <c r="CJ25" s="874"/>
      <c r="CK25" s="874"/>
      <c r="CL25" s="874"/>
      <c r="CM25" s="874"/>
      <c r="CN25" s="874"/>
      <c r="CO25" s="874"/>
      <c r="CP25" s="874"/>
      <c r="CQ25" s="874"/>
      <c r="CR25" s="874"/>
      <c r="CS25" s="874"/>
      <c r="CT25" s="874"/>
      <c r="CU25" s="874"/>
      <c r="CV25" s="874"/>
      <c r="CW25" s="874"/>
      <c r="CX25" s="873"/>
      <c r="CY25" s="874"/>
      <c r="CZ25" s="874"/>
      <c r="DA25" s="874"/>
      <c r="DB25" s="874"/>
      <c r="DC25" s="874"/>
      <c r="DD25" s="874"/>
      <c r="DE25" s="874"/>
      <c r="DF25" s="874"/>
      <c r="DG25" s="874"/>
      <c r="DH25" s="874"/>
      <c r="DI25" s="874"/>
      <c r="DJ25" s="874"/>
      <c r="DK25" s="873"/>
      <c r="DL25" s="874"/>
      <c r="DM25" s="874"/>
      <c r="DN25" s="874"/>
      <c r="DO25" s="874"/>
      <c r="DP25" s="874"/>
      <c r="DQ25" s="874"/>
      <c r="DR25" s="874"/>
      <c r="DS25" s="874"/>
      <c r="DT25" s="874"/>
      <c r="DU25" s="874"/>
      <c r="DV25" s="874"/>
      <c r="DW25" s="874"/>
      <c r="DX25" s="873"/>
      <c r="DY25" s="874"/>
      <c r="DZ25" s="874"/>
      <c r="EA25" s="874"/>
      <c r="EB25" s="874"/>
      <c r="EC25" s="874"/>
      <c r="ED25" s="874"/>
      <c r="EE25" s="874"/>
      <c r="EF25" s="874"/>
      <c r="EG25" s="874"/>
      <c r="EH25" s="874"/>
      <c r="EI25" s="874"/>
      <c r="EJ25" s="874"/>
      <c r="EK25" s="814"/>
      <c r="EL25" s="871"/>
      <c r="EM25" s="871"/>
      <c r="EN25" s="871"/>
      <c r="EO25" s="871"/>
      <c r="EP25" s="871"/>
    </row>
    <row r="26" spans="1:146" ht="18.25" customHeight="1" x14ac:dyDescent="0.3">
      <c r="A26" s="1353" t="s">
        <v>1243</v>
      </c>
      <c r="B26" s="140"/>
      <c r="C26" s="1355"/>
      <c r="D26" s="140"/>
      <c r="E26" s="875"/>
      <c r="F26" s="142"/>
      <c r="G26" s="142"/>
      <c r="H26" s="871"/>
      <c r="I26" s="142"/>
      <c r="J26" s="142"/>
      <c r="K26" s="142"/>
      <c r="L26" s="142"/>
      <c r="M26" s="142"/>
      <c r="N26" s="142"/>
      <c r="O26" s="142"/>
      <c r="P26" s="142"/>
      <c r="Q26" s="535"/>
      <c r="R26" s="535"/>
      <c r="S26" s="535"/>
      <c r="T26" s="535"/>
      <c r="U26" s="535"/>
      <c r="V26" s="535"/>
      <c r="W26" s="535"/>
      <c r="X26" s="535"/>
      <c r="Y26" s="535"/>
      <c r="Z26" s="872"/>
      <c r="AA26" s="814"/>
      <c r="AB26" s="814"/>
      <c r="AC26" s="814"/>
      <c r="AD26" s="814"/>
      <c r="AE26" s="872"/>
      <c r="AF26" s="872"/>
      <c r="AG26" s="872"/>
      <c r="AH26" s="814"/>
      <c r="AI26" s="814"/>
      <c r="AJ26" s="814"/>
      <c r="AK26" s="814"/>
      <c r="AL26" s="814"/>
      <c r="AM26" s="814"/>
      <c r="AN26" s="814"/>
      <c r="AO26" s="814"/>
      <c r="AP26" s="872"/>
      <c r="AQ26" s="814"/>
      <c r="AR26" s="814"/>
      <c r="AS26" s="814"/>
      <c r="AT26" s="814"/>
      <c r="AU26" s="814"/>
      <c r="AV26" s="814"/>
      <c r="AW26" s="814"/>
      <c r="AX26" s="814"/>
      <c r="AY26" s="873"/>
      <c r="AZ26" s="874"/>
      <c r="BA26" s="874"/>
      <c r="BB26" s="874"/>
      <c r="BC26" s="874"/>
      <c r="BD26" s="874"/>
      <c r="BE26" s="874"/>
      <c r="BF26" s="874"/>
      <c r="BG26" s="874"/>
      <c r="BH26" s="874"/>
      <c r="BI26" s="874"/>
      <c r="BJ26" s="874"/>
      <c r="BK26" s="874"/>
      <c r="BL26" s="874"/>
      <c r="BM26" s="874"/>
      <c r="BN26" s="874"/>
      <c r="BO26" s="874"/>
      <c r="BP26" s="873"/>
      <c r="BQ26" s="874"/>
      <c r="BR26" s="874"/>
      <c r="BS26" s="874"/>
      <c r="BT26" s="874"/>
      <c r="BU26" s="874"/>
      <c r="BV26" s="874"/>
      <c r="BW26" s="874"/>
      <c r="BX26" s="874"/>
      <c r="BY26" s="874"/>
      <c r="BZ26" s="874"/>
      <c r="CA26" s="874"/>
      <c r="CB26" s="874"/>
      <c r="CC26" s="874"/>
      <c r="CD26" s="874"/>
      <c r="CE26" s="874"/>
      <c r="CF26" s="874"/>
      <c r="CG26" s="873"/>
      <c r="CH26" s="874"/>
      <c r="CI26" s="874"/>
      <c r="CJ26" s="874"/>
      <c r="CK26" s="874"/>
      <c r="CL26" s="874"/>
      <c r="CM26" s="874"/>
      <c r="CN26" s="874"/>
      <c r="CO26" s="874"/>
      <c r="CP26" s="874"/>
      <c r="CQ26" s="874"/>
      <c r="CR26" s="874"/>
      <c r="CS26" s="874"/>
      <c r="CT26" s="874"/>
      <c r="CU26" s="874"/>
      <c r="CV26" s="874"/>
      <c r="CW26" s="874"/>
      <c r="CX26" s="873"/>
      <c r="CY26" s="874"/>
      <c r="CZ26" s="874"/>
      <c r="DA26" s="874"/>
      <c r="DB26" s="874"/>
      <c r="DC26" s="874"/>
      <c r="DD26" s="874"/>
      <c r="DE26" s="874"/>
      <c r="DF26" s="874"/>
      <c r="DG26" s="874"/>
      <c r="DH26" s="874"/>
      <c r="DI26" s="874"/>
      <c r="DJ26" s="874"/>
      <c r="DK26" s="873"/>
      <c r="DL26" s="874"/>
      <c r="DM26" s="874"/>
      <c r="DN26" s="874"/>
      <c r="DO26" s="874"/>
      <c r="DP26" s="874"/>
      <c r="DQ26" s="874"/>
      <c r="DR26" s="874"/>
      <c r="DS26" s="874"/>
      <c r="DT26" s="874"/>
      <c r="DU26" s="874"/>
      <c r="DV26" s="874"/>
      <c r="DW26" s="874"/>
      <c r="DX26" s="873"/>
      <c r="DY26" s="874"/>
      <c r="DZ26" s="874"/>
      <c r="EA26" s="874"/>
      <c r="EB26" s="874"/>
      <c r="EC26" s="874"/>
      <c r="ED26" s="874"/>
      <c r="EE26" s="874"/>
      <c r="EF26" s="874"/>
      <c r="EG26" s="874"/>
      <c r="EH26" s="874"/>
      <c r="EI26" s="874"/>
      <c r="EJ26" s="874"/>
      <c r="EK26" s="814"/>
      <c r="EL26" s="871"/>
      <c r="EM26" s="871"/>
      <c r="EN26" s="871"/>
      <c r="EO26" s="871"/>
      <c r="EP26" s="871"/>
    </row>
    <row r="27" spans="1:146" ht="18.25" customHeight="1" x14ac:dyDescent="0.3">
      <c r="A27" s="1353" t="s">
        <v>1245</v>
      </c>
      <c r="B27" s="140"/>
      <c r="C27" s="1355"/>
      <c r="D27" s="140"/>
      <c r="E27" s="875"/>
      <c r="F27" s="142"/>
      <c r="G27" s="142"/>
      <c r="H27" s="871"/>
      <c r="I27" s="142"/>
      <c r="J27" s="142"/>
      <c r="K27" s="142"/>
      <c r="L27" s="142"/>
      <c r="M27" s="142"/>
      <c r="N27" s="142"/>
      <c r="O27" s="142"/>
      <c r="P27" s="142"/>
      <c r="Q27" s="535"/>
      <c r="R27" s="535"/>
      <c r="S27" s="535"/>
      <c r="T27" s="535"/>
      <c r="U27" s="535"/>
      <c r="V27" s="535"/>
      <c r="W27" s="535"/>
      <c r="X27" s="535"/>
      <c r="Y27" s="535"/>
      <c r="Z27" s="872"/>
      <c r="AA27" s="814"/>
      <c r="AB27" s="814"/>
      <c r="AC27" s="814"/>
      <c r="AD27" s="814"/>
      <c r="AE27" s="872"/>
      <c r="AF27" s="872"/>
      <c r="AG27" s="872"/>
      <c r="AH27" s="814"/>
      <c r="AI27" s="814"/>
      <c r="AJ27" s="814"/>
      <c r="AK27" s="814"/>
      <c r="AL27" s="814"/>
      <c r="AM27" s="814"/>
      <c r="AN27" s="814"/>
      <c r="AO27" s="814"/>
      <c r="AP27" s="872"/>
      <c r="AQ27" s="814"/>
      <c r="AR27" s="814"/>
      <c r="AS27" s="814"/>
      <c r="AT27" s="814"/>
      <c r="AU27" s="814"/>
      <c r="AV27" s="814"/>
      <c r="AW27" s="814"/>
      <c r="AX27" s="814"/>
      <c r="AY27" s="873"/>
      <c r="AZ27" s="874"/>
      <c r="BA27" s="874"/>
      <c r="BB27" s="874"/>
      <c r="BC27" s="874"/>
      <c r="BD27" s="874"/>
      <c r="BE27" s="874"/>
      <c r="BF27" s="874"/>
      <c r="BG27" s="874"/>
      <c r="BH27" s="874"/>
      <c r="BI27" s="874"/>
      <c r="BJ27" s="874"/>
      <c r="BK27" s="874"/>
      <c r="BL27" s="874"/>
      <c r="BM27" s="874"/>
      <c r="BN27" s="874"/>
      <c r="BO27" s="874"/>
      <c r="BP27" s="873"/>
      <c r="BQ27" s="874"/>
      <c r="BR27" s="874"/>
      <c r="BS27" s="874"/>
      <c r="BT27" s="874"/>
      <c r="BU27" s="874"/>
      <c r="BV27" s="874"/>
      <c r="BW27" s="874"/>
      <c r="BX27" s="874"/>
      <c r="BY27" s="874"/>
      <c r="BZ27" s="874"/>
      <c r="CA27" s="874"/>
      <c r="CB27" s="874"/>
      <c r="CC27" s="874"/>
      <c r="CD27" s="874"/>
      <c r="CE27" s="874"/>
      <c r="CF27" s="874"/>
      <c r="CG27" s="873"/>
      <c r="CH27" s="874"/>
      <c r="CI27" s="874"/>
      <c r="CJ27" s="874"/>
      <c r="CK27" s="874"/>
      <c r="CL27" s="874"/>
      <c r="CM27" s="874"/>
      <c r="CN27" s="874"/>
      <c r="CO27" s="874"/>
      <c r="CP27" s="874"/>
      <c r="CQ27" s="874"/>
      <c r="CR27" s="874"/>
      <c r="CS27" s="874"/>
      <c r="CT27" s="874"/>
      <c r="CU27" s="874"/>
      <c r="CV27" s="874"/>
      <c r="CW27" s="874"/>
      <c r="CX27" s="873"/>
      <c r="CY27" s="874"/>
      <c r="CZ27" s="874"/>
      <c r="DA27" s="874"/>
      <c r="DB27" s="874"/>
      <c r="DC27" s="874"/>
      <c r="DD27" s="874"/>
      <c r="DE27" s="874"/>
      <c r="DF27" s="874"/>
      <c r="DG27" s="874"/>
      <c r="DH27" s="874"/>
      <c r="DI27" s="874"/>
      <c r="DJ27" s="874"/>
      <c r="DK27" s="873"/>
      <c r="DL27" s="874"/>
      <c r="DM27" s="874"/>
      <c r="DN27" s="874"/>
      <c r="DO27" s="874"/>
      <c r="DP27" s="874"/>
      <c r="DQ27" s="874"/>
      <c r="DR27" s="874"/>
      <c r="DS27" s="874"/>
      <c r="DT27" s="874"/>
      <c r="DU27" s="874"/>
      <c r="DV27" s="874"/>
      <c r="DW27" s="874"/>
      <c r="DX27" s="873"/>
      <c r="DY27" s="874"/>
      <c r="DZ27" s="874"/>
      <c r="EA27" s="874"/>
      <c r="EB27" s="874"/>
      <c r="EC27" s="874"/>
      <c r="ED27" s="874"/>
      <c r="EE27" s="874"/>
      <c r="EF27" s="874"/>
      <c r="EG27" s="874"/>
      <c r="EH27" s="874"/>
      <c r="EI27" s="874"/>
      <c r="EJ27" s="874"/>
      <c r="EK27" s="814"/>
      <c r="EL27" s="871"/>
      <c r="EM27" s="871"/>
      <c r="EN27" s="871"/>
      <c r="EO27" s="871"/>
      <c r="EP27" s="871"/>
    </row>
    <row r="28" spans="1:146" ht="18.25" customHeight="1" x14ac:dyDescent="0.3">
      <c r="A28" s="1353" t="s">
        <v>1247</v>
      </c>
      <c r="B28" s="140"/>
      <c r="C28" s="1355"/>
      <c r="D28" s="140"/>
      <c r="E28" s="875"/>
      <c r="F28" s="142"/>
      <c r="G28" s="142"/>
      <c r="H28" s="871"/>
      <c r="I28" s="142"/>
      <c r="J28" s="142"/>
      <c r="K28" s="142"/>
      <c r="L28" s="142"/>
      <c r="M28" s="142"/>
      <c r="N28" s="142"/>
      <c r="O28" s="142"/>
      <c r="P28" s="142"/>
      <c r="Q28" s="535"/>
      <c r="R28" s="535"/>
      <c r="S28" s="535"/>
      <c r="T28" s="535"/>
      <c r="U28" s="535"/>
      <c r="V28" s="535"/>
      <c r="W28" s="535"/>
      <c r="X28" s="535"/>
      <c r="Y28" s="535"/>
      <c r="Z28" s="872"/>
      <c r="AA28" s="814"/>
      <c r="AB28" s="814"/>
      <c r="AC28" s="814"/>
      <c r="AD28" s="814"/>
      <c r="AE28" s="872"/>
      <c r="AF28" s="872"/>
      <c r="AG28" s="872"/>
      <c r="AH28" s="814"/>
      <c r="AI28" s="814"/>
      <c r="AJ28" s="814"/>
      <c r="AK28" s="814"/>
      <c r="AL28" s="814"/>
      <c r="AM28" s="814"/>
      <c r="AN28" s="814"/>
      <c r="AO28" s="814"/>
      <c r="AP28" s="872"/>
      <c r="AQ28" s="814"/>
      <c r="AR28" s="814"/>
      <c r="AS28" s="814"/>
      <c r="AT28" s="814"/>
      <c r="AU28" s="814"/>
      <c r="AV28" s="814"/>
      <c r="AW28" s="814"/>
      <c r="AX28" s="814"/>
      <c r="AY28" s="873"/>
      <c r="AZ28" s="875"/>
      <c r="BA28" s="875"/>
      <c r="BB28" s="875"/>
      <c r="BC28" s="875"/>
      <c r="BD28" s="875"/>
      <c r="BE28" s="875"/>
      <c r="BF28" s="875"/>
      <c r="BG28" s="875"/>
      <c r="BH28" s="875"/>
      <c r="BI28" s="875"/>
      <c r="BJ28" s="875"/>
      <c r="BK28" s="875"/>
      <c r="BL28" s="875"/>
      <c r="BM28" s="875"/>
      <c r="BN28" s="875"/>
      <c r="BO28" s="875"/>
      <c r="BP28" s="873"/>
      <c r="BQ28" s="875"/>
      <c r="BR28" s="875"/>
      <c r="BS28" s="875"/>
      <c r="BT28" s="875"/>
      <c r="BU28" s="875"/>
      <c r="BV28" s="875"/>
      <c r="BW28" s="875"/>
      <c r="BX28" s="875"/>
      <c r="BY28" s="875"/>
      <c r="BZ28" s="875"/>
      <c r="CA28" s="875"/>
      <c r="CB28" s="875"/>
      <c r="CC28" s="875"/>
      <c r="CD28" s="875"/>
      <c r="CE28" s="875"/>
      <c r="CF28" s="875"/>
      <c r="CG28" s="873"/>
      <c r="CH28" s="875"/>
      <c r="CI28" s="875"/>
      <c r="CJ28" s="875"/>
      <c r="CK28" s="875"/>
      <c r="CL28" s="875"/>
      <c r="CM28" s="875"/>
      <c r="CN28" s="875"/>
      <c r="CO28" s="875"/>
      <c r="CP28" s="875"/>
      <c r="CQ28" s="875"/>
      <c r="CR28" s="875"/>
      <c r="CS28" s="875"/>
      <c r="CT28" s="875"/>
      <c r="CU28" s="875"/>
      <c r="CV28" s="875"/>
      <c r="CW28" s="875"/>
      <c r="CX28" s="873"/>
      <c r="CY28" s="875"/>
      <c r="CZ28" s="875"/>
      <c r="DA28" s="875"/>
      <c r="DB28" s="875"/>
      <c r="DC28" s="875"/>
      <c r="DD28" s="875"/>
      <c r="DE28" s="875"/>
      <c r="DF28" s="875"/>
      <c r="DG28" s="875"/>
      <c r="DH28" s="875"/>
      <c r="DI28" s="875"/>
      <c r="DJ28" s="875"/>
      <c r="DK28" s="873"/>
      <c r="DL28" s="875"/>
      <c r="DM28" s="875"/>
      <c r="DN28" s="875"/>
      <c r="DO28" s="875"/>
      <c r="DP28" s="875"/>
      <c r="DQ28" s="875"/>
      <c r="DR28" s="875"/>
      <c r="DS28" s="875"/>
      <c r="DT28" s="875"/>
      <c r="DU28" s="875"/>
      <c r="DV28" s="875"/>
      <c r="DW28" s="875"/>
      <c r="DX28" s="873"/>
      <c r="DY28" s="875"/>
      <c r="DZ28" s="875"/>
      <c r="EA28" s="875"/>
      <c r="EB28" s="875"/>
      <c r="EC28" s="875"/>
      <c r="ED28" s="875"/>
      <c r="EE28" s="875"/>
      <c r="EF28" s="875"/>
      <c r="EG28" s="875"/>
      <c r="EH28" s="875"/>
      <c r="EI28" s="875"/>
      <c r="EJ28" s="875"/>
      <c r="EK28" s="814"/>
      <c r="EL28" s="871"/>
      <c r="EM28" s="871"/>
      <c r="EN28" s="871"/>
      <c r="EO28" s="871"/>
      <c r="EP28" s="871"/>
    </row>
    <row r="29" spans="1:146" ht="18.25" customHeight="1" x14ac:dyDescent="0.3">
      <c r="A29" s="1353" t="s">
        <v>1249</v>
      </c>
      <c r="B29" s="140"/>
      <c r="C29" s="1355"/>
      <c r="D29" s="140"/>
      <c r="E29" s="875"/>
      <c r="F29" s="142"/>
      <c r="G29" s="142"/>
      <c r="H29" s="871"/>
      <c r="I29" s="142"/>
      <c r="J29" s="142"/>
      <c r="K29" s="142"/>
      <c r="L29" s="142"/>
      <c r="M29" s="142"/>
      <c r="N29" s="142"/>
      <c r="O29" s="142"/>
      <c r="P29" s="142"/>
      <c r="Q29" s="535"/>
      <c r="R29" s="535"/>
      <c r="S29" s="535"/>
      <c r="T29" s="535"/>
      <c r="U29" s="535"/>
      <c r="V29" s="535"/>
      <c r="W29" s="535"/>
      <c r="X29" s="535"/>
      <c r="Y29" s="535"/>
      <c r="Z29" s="872"/>
      <c r="AA29" s="814"/>
      <c r="AB29" s="814"/>
      <c r="AC29" s="814"/>
      <c r="AD29" s="814"/>
      <c r="AE29" s="872"/>
      <c r="AF29" s="872"/>
      <c r="AG29" s="872"/>
      <c r="AH29" s="814"/>
      <c r="AI29" s="814"/>
      <c r="AJ29" s="814"/>
      <c r="AK29" s="814"/>
      <c r="AL29" s="814"/>
      <c r="AM29" s="814"/>
      <c r="AN29" s="814"/>
      <c r="AO29" s="814"/>
      <c r="AP29" s="872"/>
      <c r="AQ29" s="814"/>
      <c r="AR29" s="814"/>
      <c r="AS29" s="814"/>
      <c r="AT29" s="814"/>
      <c r="AU29" s="814"/>
      <c r="AV29" s="814"/>
      <c r="AW29" s="814"/>
      <c r="AX29" s="814"/>
      <c r="AY29" s="873"/>
      <c r="AZ29" s="875"/>
      <c r="BA29" s="875"/>
      <c r="BB29" s="875"/>
      <c r="BC29" s="875"/>
      <c r="BD29" s="875"/>
      <c r="BE29" s="875"/>
      <c r="BF29" s="875"/>
      <c r="BG29" s="875"/>
      <c r="BH29" s="875"/>
      <c r="BI29" s="875"/>
      <c r="BJ29" s="875"/>
      <c r="BK29" s="875"/>
      <c r="BL29" s="875"/>
      <c r="BM29" s="875"/>
      <c r="BN29" s="875"/>
      <c r="BO29" s="875"/>
      <c r="BP29" s="873"/>
      <c r="BQ29" s="875"/>
      <c r="BR29" s="875"/>
      <c r="BS29" s="875"/>
      <c r="BT29" s="875"/>
      <c r="BU29" s="875"/>
      <c r="BV29" s="875"/>
      <c r="BW29" s="875"/>
      <c r="BX29" s="875"/>
      <c r="BY29" s="875"/>
      <c r="BZ29" s="875"/>
      <c r="CA29" s="875"/>
      <c r="CB29" s="875"/>
      <c r="CC29" s="875"/>
      <c r="CD29" s="875"/>
      <c r="CE29" s="875"/>
      <c r="CF29" s="875"/>
      <c r="CG29" s="873"/>
      <c r="CH29" s="875"/>
      <c r="CI29" s="875"/>
      <c r="CJ29" s="875"/>
      <c r="CK29" s="875"/>
      <c r="CL29" s="875"/>
      <c r="CM29" s="875"/>
      <c r="CN29" s="875"/>
      <c r="CO29" s="875"/>
      <c r="CP29" s="875"/>
      <c r="CQ29" s="875"/>
      <c r="CR29" s="875"/>
      <c r="CS29" s="875"/>
      <c r="CT29" s="875"/>
      <c r="CU29" s="875"/>
      <c r="CV29" s="875"/>
      <c r="CW29" s="875"/>
      <c r="CX29" s="873"/>
      <c r="CY29" s="875"/>
      <c r="CZ29" s="875"/>
      <c r="DA29" s="875"/>
      <c r="DB29" s="875"/>
      <c r="DC29" s="875"/>
      <c r="DD29" s="875"/>
      <c r="DE29" s="875"/>
      <c r="DF29" s="875"/>
      <c r="DG29" s="875"/>
      <c r="DH29" s="875"/>
      <c r="DI29" s="875"/>
      <c r="DJ29" s="875"/>
      <c r="DK29" s="873"/>
      <c r="DL29" s="875"/>
      <c r="DM29" s="875"/>
      <c r="DN29" s="875"/>
      <c r="DO29" s="875"/>
      <c r="DP29" s="875"/>
      <c r="DQ29" s="875"/>
      <c r="DR29" s="875"/>
      <c r="DS29" s="875"/>
      <c r="DT29" s="875"/>
      <c r="DU29" s="875"/>
      <c r="DV29" s="875"/>
      <c r="DW29" s="875"/>
      <c r="DX29" s="873"/>
      <c r="DY29" s="875"/>
      <c r="DZ29" s="875"/>
      <c r="EA29" s="875"/>
      <c r="EB29" s="875"/>
      <c r="EC29" s="875"/>
      <c r="ED29" s="875"/>
      <c r="EE29" s="875"/>
      <c r="EF29" s="875"/>
      <c r="EG29" s="875"/>
      <c r="EH29" s="875"/>
      <c r="EI29" s="875"/>
      <c r="EJ29" s="875"/>
      <c r="EK29" s="814"/>
      <c r="EL29" s="871"/>
      <c r="EM29" s="871"/>
      <c r="EN29" s="871"/>
      <c r="EO29" s="871"/>
      <c r="EP29" s="871"/>
    </row>
    <row r="30" spans="1:146" ht="18.25" customHeight="1" x14ac:dyDescent="0.3">
      <c r="A30" s="1353" t="s">
        <v>1251</v>
      </c>
      <c r="B30" s="140"/>
      <c r="C30" s="1355"/>
      <c r="D30" s="140"/>
      <c r="E30" s="875"/>
      <c r="F30" s="142"/>
      <c r="G30" s="142"/>
      <c r="H30" s="871"/>
      <c r="I30" s="142"/>
      <c r="J30" s="142"/>
      <c r="K30" s="142"/>
      <c r="L30" s="142"/>
      <c r="M30" s="142"/>
      <c r="N30" s="142"/>
      <c r="O30" s="142"/>
      <c r="P30" s="142"/>
      <c r="Q30" s="535"/>
      <c r="R30" s="535"/>
      <c r="S30" s="535"/>
      <c r="T30" s="535"/>
      <c r="U30" s="535"/>
      <c r="V30" s="535"/>
      <c r="W30" s="535"/>
      <c r="X30" s="535"/>
      <c r="Y30" s="535"/>
      <c r="Z30" s="872"/>
      <c r="AA30" s="814"/>
      <c r="AB30" s="814"/>
      <c r="AC30" s="814"/>
      <c r="AD30" s="814"/>
      <c r="AE30" s="872"/>
      <c r="AF30" s="872"/>
      <c r="AG30" s="872"/>
      <c r="AH30" s="814"/>
      <c r="AI30" s="814"/>
      <c r="AJ30" s="814"/>
      <c r="AK30" s="814"/>
      <c r="AL30" s="814"/>
      <c r="AM30" s="814"/>
      <c r="AN30" s="814"/>
      <c r="AO30" s="814"/>
      <c r="AP30" s="872"/>
      <c r="AQ30" s="814"/>
      <c r="AR30" s="814"/>
      <c r="AS30" s="814"/>
      <c r="AT30" s="814"/>
      <c r="AU30" s="814"/>
      <c r="AV30" s="814"/>
      <c r="AW30" s="814"/>
      <c r="AX30" s="814"/>
      <c r="AY30" s="873"/>
      <c r="AZ30" s="875"/>
      <c r="BA30" s="875"/>
      <c r="BB30" s="875"/>
      <c r="BC30" s="875"/>
      <c r="BD30" s="875"/>
      <c r="BE30" s="875"/>
      <c r="BF30" s="875"/>
      <c r="BG30" s="875"/>
      <c r="BH30" s="875"/>
      <c r="BI30" s="875"/>
      <c r="BJ30" s="875"/>
      <c r="BK30" s="875"/>
      <c r="BL30" s="875"/>
      <c r="BM30" s="875"/>
      <c r="BN30" s="875"/>
      <c r="BO30" s="875"/>
      <c r="BP30" s="873"/>
      <c r="BQ30" s="875"/>
      <c r="BR30" s="875"/>
      <c r="BS30" s="875"/>
      <c r="BT30" s="875"/>
      <c r="BU30" s="875"/>
      <c r="BV30" s="875"/>
      <c r="BW30" s="875"/>
      <c r="BX30" s="875"/>
      <c r="BY30" s="875"/>
      <c r="BZ30" s="875"/>
      <c r="CA30" s="875"/>
      <c r="CB30" s="875"/>
      <c r="CC30" s="875"/>
      <c r="CD30" s="875"/>
      <c r="CE30" s="875"/>
      <c r="CF30" s="875"/>
      <c r="CG30" s="873"/>
      <c r="CH30" s="875"/>
      <c r="CI30" s="875"/>
      <c r="CJ30" s="875"/>
      <c r="CK30" s="875"/>
      <c r="CL30" s="875"/>
      <c r="CM30" s="875"/>
      <c r="CN30" s="875"/>
      <c r="CO30" s="875"/>
      <c r="CP30" s="875"/>
      <c r="CQ30" s="875"/>
      <c r="CR30" s="875"/>
      <c r="CS30" s="875"/>
      <c r="CT30" s="875"/>
      <c r="CU30" s="875"/>
      <c r="CV30" s="875"/>
      <c r="CW30" s="875"/>
      <c r="CX30" s="873"/>
      <c r="CY30" s="875"/>
      <c r="CZ30" s="875"/>
      <c r="DA30" s="875"/>
      <c r="DB30" s="875"/>
      <c r="DC30" s="875"/>
      <c r="DD30" s="875"/>
      <c r="DE30" s="875"/>
      <c r="DF30" s="875"/>
      <c r="DG30" s="875"/>
      <c r="DH30" s="875"/>
      <c r="DI30" s="875"/>
      <c r="DJ30" s="875"/>
      <c r="DK30" s="873"/>
      <c r="DL30" s="875"/>
      <c r="DM30" s="875"/>
      <c r="DN30" s="875"/>
      <c r="DO30" s="875"/>
      <c r="DP30" s="875"/>
      <c r="DQ30" s="875"/>
      <c r="DR30" s="875"/>
      <c r="DS30" s="875"/>
      <c r="DT30" s="875"/>
      <c r="DU30" s="875"/>
      <c r="DV30" s="875"/>
      <c r="DW30" s="875"/>
      <c r="DX30" s="873"/>
      <c r="DY30" s="875"/>
      <c r="DZ30" s="875"/>
      <c r="EA30" s="875"/>
      <c r="EB30" s="875"/>
      <c r="EC30" s="875"/>
      <c r="ED30" s="875"/>
      <c r="EE30" s="875"/>
      <c r="EF30" s="875"/>
      <c r="EG30" s="875"/>
      <c r="EH30" s="875"/>
      <c r="EI30" s="875"/>
      <c r="EJ30" s="875"/>
      <c r="EK30" s="814"/>
      <c r="EL30" s="871"/>
      <c r="EM30" s="871"/>
      <c r="EN30" s="871"/>
      <c r="EO30" s="871"/>
      <c r="EP30" s="871"/>
    </row>
    <row r="31" spans="1:146" ht="18.25" customHeight="1" x14ac:dyDescent="0.3">
      <c r="A31" s="1353" t="s">
        <v>1253</v>
      </c>
      <c r="B31" s="140"/>
      <c r="C31" s="1355"/>
      <c r="D31" s="140"/>
      <c r="E31" s="875"/>
      <c r="F31" s="142"/>
      <c r="G31" s="142"/>
      <c r="H31" s="871"/>
      <c r="I31" s="142"/>
      <c r="J31" s="142"/>
      <c r="K31" s="142"/>
      <c r="L31" s="142"/>
      <c r="M31" s="142"/>
      <c r="N31" s="142"/>
      <c r="O31" s="142"/>
      <c r="P31" s="142"/>
      <c r="Q31" s="535"/>
      <c r="R31" s="535"/>
      <c r="S31" s="535"/>
      <c r="T31" s="535"/>
      <c r="U31" s="535"/>
      <c r="V31" s="535"/>
      <c r="W31" s="535"/>
      <c r="X31" s="535"/>
      <c r="Y31" s="535"/>
      <c r="Z31" s="872"/>
      <c r="AA31" s="814"/>
      <c r="AB31" s="814"/>
      <c r="AC31" s="814"/>
      <c r="AD31" s="814"/>
      <c r="AE31" s="872"/>
      <c r="AF31" s="872"/>
      <c r="AG31" s="872"/>
      <c r="AH31" s="814"/>
      <c r="AI31" s="814"/>
      <c r="AJ31" s="814"/>
      <c r="AK31" s="814"/>
      <c r="AL31" s="814"/>
      <c r="AM31" s="814"/>
      <c r="AN31" s="814"/>
      <c r="AO31" s="814"/>
      <c r="AP31" s="872"/>
      <c r="AQ31" s="814"/>
      <c r="AR31" s="814"/>
      <c r="AS31" s="814"/>
      <c r="AT31" s="814"/>
      <c r="AU31" s="814"/>
      <c r="AV31" s="814"/>
      <c r="AW31" s="814"/>
      <c r="AX31" s="814"/>
      <c r="AY31" s="873"/>
      <c r="AZ31" s="875"/>
      <c r="BA31" s="875"/>
      <c r="BB31" s="875"/>
      <c r="BC31" s="875"/>
      <c r="BD31" s="875"/>
      <c r="BE31" s="875"/>
      <c r="BF31" s="875"/>
      <c r="BG31" s="875"/>
      <c r="BH31" s="875"/>
      <c r="BI31" s="875"/>
      <c r="BJ31" s="875"/>
      <c r="BK31" s="875"/>
      <c r="BL31" s="875"/>
      <c r="BM31" s="875"/>
      <c r="BN31" s="875"/>
      <c r="BO31" s="875"/>
      <c r="BP31" s="873"/>
      <c r="BQ31" s="875"/>
      <c r="BR31" s="875"/>
      <c r="BS31" s="875"/>
      <c r="BT31" s="875"/>
      <c r="BU31" s="875"/>
      <c r="BV31" s="875"/>
      <c r="BW31" s="875"/>
      <c r="BX31" s="875"/>
      <c r="BY31" s="875"/>
      <c r="BZ31" s="875"/>
      <c r="CA31" s="875"/>
      <c r="CB31" s="875"/>
      <c r="CC31" s="875"/>
      <c r="CD31" s="875"/>
      <c r="CE31" s="875"/>
      <c r="CF31" s="875"/>
      <c r="CG31" s="873"/>
      <c r="CH31" s="875"/>
      <c r="CI31" s="875"/>
      <c r="CJ31" s="875"/>
      <c r="CK31" s="875"/>
      <c r="CL31" s="875"/>
      <c r="CM31" s="875"/>
      <c r="CN31" s="875"/>
      <c r="CO31" s="875"/>
      <c r="CP31" s="875"/>
      <c r="CQ31" s="875"/>
      <c r="CR31" s="875"/>
      <c r="CS31" s="875"/>
      <c r="CT31" s="875"/>
      <c r="CU31" s="875"/>
      <c r="CV31" s="875"/>
      <c r="CW31" s="875"/>
      <c r="CX31" s="873"/>
      <c r="CY31" s="875"/>
      <c r="CZ31" s="875"/>
      <c r="DA31" s="875"/>
      <c r="DB31" s="875"/>
      <c r="DC31" s="875"/>
      <c r="DD31" s="875"/>
      <c r="DE31" s="875"/>
      <c r="DF31" s="875"/>
      <c r="DG31" s="875"/>
      <c r="DH31" s="875"/>
      <c r="DI31" s="875"/>
      <c r="DJ31" s="875"/>
      <c r="DK31" s="873"/>
      <c r="DL31" s="875"/>
      <c r="DM31" s="875"/>
      <c r="DN31" s="875"/>
      <c r="DO31" s="875"/>
      <c r="DP31" s="875"/>
      <c r="DQ31" s="875"/>
      <c r="DR31" s="875"/>
      <c r="DS31" s="875"/>
      <c r="DT31" s="875"/>
      <c r="DU31" s="875"/>
      <c r="DV31" s="875"/>
      <c r="DW31" s="875"/>
      <c r="DX31" s="873"/>
      <c r="DY31" s="875"/>
      <c r="DZ31" s="875"/>
      <c r="EA31" s="875"/>
      <c r="EB31" s="875"/>
      <c r="EC31" s="875"/>
      <c r="ED31" s="875"/>
      <c r="EE31" s="875"/>
      <c r="EF31" s="875"/>
      <c r="EG31" s="875"/>
      <c r="EH31" s="875"/>
      <c r="EI31" s="875"/>
      <c r="EJ31" s="875"/>
      <c r="EK31" s="814"/>
      <c r="EL31" s="871"/>
      <c r="EM31" s="871"/>
      <c r="EN31" s="871"/>
      <c r="EO31" s="871"/>
      <c r="EP31" s="871"/>
    </row>
    <row r="32" spans="1:146" ht="18.25" customHeight="1" x14ac:dyDescent="0.3">
      <c r="A32" s="1353" t="s">
        <v>1255</v>
      </c>
      <c r="B32" s="140"/>
      <c r="C32" s="1355"/>
      <c r="D32" s="140"/>
      <c r="E32" s="875"/>
      <c r="F32" s="142"/>
      <c r="G32" s="142"/>
      <c r="H32" s="871"/>
      <c r="I32" s="142"/>
      <c r="J32" s="142"/>
      <c r="K32" s="142"/>
      <c r="L32" s="142"/>
      <c r="M32" s="142"/>
      <c r="N32" s="142"/>
      <c r="O32" s="142"/>
      <c r="P32" s="142"/>
      <c r="Q32" s="535"/>
      <c r="R32" s="535"/>
      <c r="S32" s="535"/>
      <c r="T32" s="535"/>
      <c r="U32" s="535"/>
      <c r="V32" s="535"/>
      <c r="W32" s="535"/>
      <c r="X32" s="535"/>
      <c r="Y32" s="535"/>
      <c r="Z32" s="872"/>
      <c r="AA32" s="814"/>
      <c r="AB32" s="814"/>
      <c r="AC32" s="814"/>
      <c r="AD32" s="814"/>
      <c r="AE32" s="872"/>
      <c r="AF32" s="872"/>
      <c r="AG32" s="872"/>
      <c r="AH32" s="814"/>
      <c r="AI32" s="814"/>
      <c r="AJ32" s="814"/>
      <c r="AK32" s="814"/>
      <c r="AL32" s="814"/>
      <c r="AM32" s="814"/>
      <c r="AN32" s="814"/>
      <c r="AO32" s="814"/>
      <c r="AP32" s="872"/>
      <c r="AQ32" s="814"/>
      <c r="AR32" s="814"/>
      <c r="AS32" s="814"/>
      <c r="AT32" s="814"/>
      <c r="AU32" s="814"/>
      <c r="AV32" s="814"/>
      <c r="AW32" s="814"/>
      <c r="AX32" s="814"/>
      <c r="AY32" s="873"/>
      <c r="AZ32" s="875"/>
      <c r="BA32" s="875"/>
      <c r="BB32" s="875"/>
      <c r="BC32" s="875"/>
      <c r="BD32" s="875"/>
      <c r="BE32" s="875"/>
      <c r="BF32" s="875"/>
      <c r="BG32" s="875"/>
      <c r="BH32" s="875"/>
      <c r="BI32" s="875"/>
      <c r="BJ32" s="875"/>
      <c r="BK32" s="875"/>
      <c r="BL32" s="875"/>
      <c r="BM32" s="875"/>
      <c r="BN32" s="875"/>
      <c r="BO32" s="875"/>
      <c r="BP32" s="873"/>
      <c r="BQ32" s="875"/>
      <c r="BR32" s="875"/>
      <c r="BS32" s="875"/>
      <c r="BT32" s="875"/>
      <c r="BU32" s="875"/>
      <c r="BV32" s="875"/>
      <c r="BW32" s="875"/>
      <c r="BX32" s="875"/>
      <c r="BY32" s="875"/>
      <c r="BZ32" s="875"/>
      <c r="CA32" s="875"/>
      <c r="CB32" s="875"/>
      <c r="CC32" s="875"/>
      <c r="CD32" s="875"/>
      <c r="CE32" s="875"/>
      <c r="CF32" s="875"/>
      <c r="CG32" s="873"/>
      <c r="CH32" s="875"/>
      <c r="CI32" s="875"/>
      <c r="CJ32" s="875"/>
      <c r="CK32" s="875"/>
      <c r="CL32" s="875"/>
      <c r="CM32" s="875"/>
      <c r="CN32" s="875"/>
      <c r="CO32" s="875"/>
      <c r="CP32" s="875"/>
      <c r="CQ32" s="875"/>
      <c r="CR32" s="875"/>
      <c r="CS32" s="875"/>
      <c r="CT32" s="875"/>
      <c r="CU32" s="875"/>
      <c r="CV32" s="875"/>
      <c r="CW32" s="875"/>
      <c r="CX32" s="873"/>
      <c r="CY32" s="875"/>
      <c r="CZ32" s="875"/>
      <c r="DA32" s="875"/>
      <c r="DB32" s="875"/>
      <c r="DC32" s="875"/>
      <c r="DD32" s="875"/>
      <c r="DE32" s="875"/>
      <c r="DF32" s="875"/>
      <c r="DG32" s="875"/>
      <c r="DH32" s="875"/>
      <c r="DI32" s="875"/>
      <c r="DJ32" s="875"/>
      <c r="DK32" s="873"/>
      <c r="DL32" s="875"/>
      <c r="DM32" s="875"/>
      <c r="DN32" s="875"/>
      <c r="DO32" s="875"/>
      <c r="DP32" s="875"/>
      <c r="DQ32" s="875"/>
      <c r="DR32" s="875"/>
      <c r="DS32" s="875"/>
      <c r="DT32" s="875"/>
      <c r="DU32" s="875"/>
      <c r="DV32" s="875"/>
      <c r="DW32" s="875"/>
      <c r="DX32" s="873"/>
      <c r="DY32" s="875"/>
      <c r="DZ32" s="875"/>
      <c r="EA32" s="875"/>
      <c r="EB32" s="875"/>
      <c r="EC32" s="875"/>
      <c r="ED32" s="875"/>
      <c r="EE32" s="875"/>
      <c r="EF32" s="875"/>
      <c r="EG32" s="875"/>
      <c r="EH32" s="875"/>
      <c r="EI32" s="875"/>
      <c r="EJ32" s="875"/>
      <c r="EK32" s="814"/>
      <c r="EL32" s="871"/>
      <c r="EM32" s="871"/>
      <c r="EN32" s="871"/>
      <c r="EO32" s="871"/>
      <c r="EP32" s="871"/>
    </row>
    <row r="33" spans="1:146" ht="18.25" customHeight="1" x14ac:dyDescent="0.3">
      <c r="A33" s="1353" t="s">
        <v>2224</v>
      </c>
      <c r="B33" s="140"/>
      <c r="C33" s="1355"/>
      <c r="D33" s="140"/>
      <c r="E33" s="875"/>
      <c r="F33" s="142"/>
      <c r="G33" s="142"/>
      <c r="H33" s="871"/>
      <c r="I33" s="142"/>
      <c r="J33" s="142"/>
      <c r="K33" s="142"/>
      <c r="L33" s="142"/>
      <c r="M33" s="142"/>
      <c r="N33" s="142"/>
      <c r="O33" s="142"/>
      <c r="P33" s="142"/>
      <c r="Q33" s="535"/>
      <c r="R33" s="535"/>
      <c r="S33" s="535"/>
      <c r="T33" s="535"/>
      <c r="U33" s="535"/>
      <c r="V33" s="535"/>
      <c r="W33" s="535"/>
      <c r="X33" s="535"/>
      <c r="Y33" s="535"/>
      <c r="Z33" s="872"/>
      <c r="AA33" s="814"/>
      <c r="AB33" s="814"/>
      <c r="AC33" s="814"/>
      <c r="AD33" s="814"/>
      <c r="AE33" s="872"/>
      <c r="AF33" s="872"/>
      <c r="AG33" s="872"/>
      <c r="AH33" s="814"/>
      <c r="AI33" s="814"/>
      <c r="AJ33" s="814"/>
      <c r="AK33" s="814"/>
      <c r="AL33" s="814"/>
      <c r="AM33" s="814"/>
      <c r="AN33" s="814"/>
      <c r="AO33" s="814"/>
      <c r="AP33" s="872"/>
      <c r="AQ33" s="814"/>
      <c r="AR33" s="814"/>
      <c r="AS33" s="814"/>
      <c r="AT33" s="814"/>
      <c r="AU33" s="814"/>
      <c r="AV33" s="814"/>
      <c r="AW33" s="814"/>
      <c r="AX33" s="814"/>
      <c r="AY33" s="873"/>
      <c r="AZ33" s="875"/>
      <c r="BA33" s="875"/>
      <c r="BB33" s="875"/>
      <c r="BC33" s="875"/>
      <c r="BD33" s="875"/>
      <c r="BE33" s="875"/>
      <c r="BF33" s="875"/>
      <c r="BG33" s="875"/>
      <c r="BH33" s="875"/>
      <c r="BI33" s="875"/>
      <c r="BJ33" s="875"/>
      <c r="BK33" s="875"/>
      <c r="BL33" s="875"/>
      <c r="BM33" s="875"/>
      <c r="BN33" s="875"/>
      <c r="BO33" s="875"/>
      <c r="BP33" s="873"/>
      <c r="BQ33" s="875"/>
      <c r="BR33" s="875"/>
      <c r="BS33" s="875"/>
      <c r="BT33" s="875"/>
      <c r="BU33" s="875"/>
      <c r="BV33" s="875"/>
      <c r="BW33" s="875"/>
      <c r="BX33" s="875"/>
      <c r="BY33" s="875"/>
      <c r="BZ33" s="875"/>
      <c r="CA33" s="875"/>
      <c r="CB33" s="875"/>
      <c r="CC33" s="875"/>
      <c r="CD33" s="875"/>
      <c r="CE33" s="875"/>
      <c r="CF33" s="875"/>
      <c r="CG33" s="873"/>
      <c r="CH33" s="875"/>
      <c r="CI33" s="875"/>
      <c r="CJ33" s="875"/>
      <c r="CK33" s="875"/>
      <c r="CL33" s="875"/>
      <c r="CM33" s="875"/>
      <c r="CN33" s="875"/>
      <c r="CO33" s="875"/>
      <c r="CP33" s="875"/>
      <c r="CQ33" s="875"/>
      <c r="CR33" s="875"/>
      <c r="CS33" s="875"/>
      <c r="CT33" s="875"/>
      <c r="CU33" s="875"/>
      <c r="CV33" s="875"/>
      <c r="CW33" s="875"/>
      <c r="CX33" s="873"/>
      <c r="CY33" s="875"/>
      <c r="CZ33" s="875"/>
      <c r="DA33" s="875"/>
      <c r="DB33" s="875"/>
      <c r="DC33" s="875"/>
      <c r="DD33" s="875"/>
      <c r="DE33" s="875"/>
      <c r="DF33" s="875"/>
      <c r="DG33" s="875"/>
      <c r="DH33" s="875"/>
      <c r="DI33" s="875"/>
      <c r="DJ33" s="875"/>
      <c r="DK33" s="873"/>
      <c r="DL33" s="875"/>
      <c r="DM33" s="875"/>
      <c r="DN33" s="875"/>
      <c r="DO33" s="875"/>
      <c r="DP33" s="875"/>
      <c r="DQ33" s="875"/>
      <c r="DR33" s="875"/>
      <c r="DS33" s="875"/>
      <c r="DT33" s="875"/>
      <c r="DU33" s="875"/>
      <c r="DV33" s="875"/>
      <c r="DW33" s="875"/>
      <c r="DX33" s="873"/>
      <c r="DY33" s="875"/>
      <c r="DZ33" s="875"/>
      <c r="EA33" s="875"/>
      <c r="EB33" s="875"/>
      <c r="EC33" s="875"/>
      <c r="ED33" s="875"/>
      <c r="EE33" s="875"/>
      <c r="EF33" s="875"/>
      <c r="EG33" s="875"/>
      <c r="EH33" s="875"/>
      <c r="EI33" s="875"/>
      <c r="EJ33" s="875"/>
      <c r="EK33" s="814"/>
      <c r="EL33" s="871"/>
      <c r="EM33" s="871"/>
      <c r="EN33" s="871"/>
      <c r="EO33" s="871"/>
      <c r="EP33" s="871"/>
    </row>
    <row r="34" spans="1:146" ht="18.25" customHeight="1" x14ac:dyDescent="0.3">
      <c r="A34" s="1353" t="s">
        <v>2225</v>
      </c>
      <c r="B34" s="140"/>
      <c r="C34" s="1355"/>
      <c r="D34" s="140"/>
      <c r="E34" s="875"/>
      <c r="F34" s="142"/>
      <c r="G34" s="142"/>
      <c r="H34" s="871"/>
      <c r="I34" s="142"/>
      <c r="J34" s="142"/>
      <c r="K34" s="142"/>
      <c r="L34" s="142"/>
      <c r="M34" s="142"/>
      <c r="N34" s="142"/>
      <c r="O34" s="142"/>
      <c r="P34" s="142"/>
      <c r="Q34" s="535"/>
      <c r="R34" s="535"/>
      <c r="S34" s="535"/>
      <c r="T34" s="535"/>
      <c r="U34" s="535"/>
      <c r="V34" s="535"/>
      <c r="W34" s="535"/>
      <c r="X34" s="535"/>
      <c r="Y34" s="535"/>
      <c r="Z34" s="872"/>
      <c r="AA34" s="814"/>
      <c r="AB34" s="814"/>
      <c r="AC34" s="814"/>
      <c r="AD34" s="814"/>
      <c r="AE34" s="872"/>
      <c r="AF34" s="872"/>
      <c r="AG34" s="872"/>
      <c r="AH34" s="814"/>
      <c r="AI34" s="814"/>
      <c r="AJ34" s="814"/>
      <c r="AK34" s="814"/>
      <c r="AL34" s="814"/>
      <c r="AM34" s="814"/>
      <c r="AN34" s="814"/>
      <c r="AO34" s="814"/>
      <c r="AP34" s="872"/>
      <c r="AQ34" s="814"/>
      <c r="AR34" s="814"/>
      <c r="AS34" s="814"/>
      <c r="AT34" s="814"/>
      <c r="AU34" s="814"/>
      <c r="AV34" s="814"/>
      <c r="AW34" s="814"/>
      <c r="AX34" s="814"/>
      <c r="AY34" s="873"/>
      <c r="AZ34" s="875"/>
      <c r="BA34" s="875"/>
      <c r="BB34" s="875"/>
      <c r="BC34" s="875"/>
      <c r="BD34" s="875"/>
      <c r="BE34" s="875"/>
      <c r="BF34" s="875"/>
      <c r="BG34" s="875"/>
      <c r="BH34" s="875"/>
      <c r="BI34" s="875"/>
      <c r="BJ34" s="875"/>
      <c r="BK34" s="875"/>
      <c r="BL34" s="875"/>
      <c r="BM34" s="875"/>
      <c r="BN34" s="875"/>
      <c r="BO34" s="875"/>
      <c r="BP34" s="873"/>
      <c r="BQ34" s="875"/>
      <c r="BR34" s="875"/>
      <c r="BS34" s="875"/>
      <c r="BT34" s="875"/>
      <c r="BU34" s="875"/>
      <c r="BV34" s="875"/>
      <c r="BW34" s="875"/>
      <c r="BX34" s="875"/>
      <c r="BY34" s="875"/>
      <c r="BZ34" s="875"/>
      <c r="CA34" s="875"/>
      <c r="CB34" s="875"/>
      <c r="CC34" s="875"/>
      <c r="CD34" s="875"/>
      <c r="CE34" s="875"/>
      <c r="CF34" s="875"/>
      <c r="CG34" s="873"/>
      <c r="CH34" s="875"/>
      <c r="CI34" s="875"/>
      <c r="CJ34" s="875"/>
      <c r="CK34" s="875"/>
      <c r="CL34" s="875"/>
      <c r="CM34" s="875"/>
      <c r="CN34" s="875"/>
      <c r="CO34" s="875"/>
      <c r="CP34" s="875"/>
      <c r="CQ34" s="875"/>
      <c r="CR34" s="875"/>
      <c r="CS34" s="875"/>
      <c r="CT34" s="875"/>
      <c r="CU34" s="875"/>
      <c r="CV34" s="875"/>
      <c r="CW34" s="875"/>
      <c r="CX34" s="873"/>
      <c r="CY34" s="875"/>
      <c r="CZ34" s="875"/>
      <c r="DA34" s="875"/>
      <c r="DB34" s="875"/>
      <c r="DC34" s="875"/>
      <c r="DD34" s="875"/>
      <c r="DE34" s="875"/>
      <c r="DF34" s="875"/>
      <c r="DG34" s="875"/>
      <c r="DH34" s="875"/>
      <c r="DI34" s="875"/>
      <c r="DJ34" s="875"/>
      <c r="DK34" s="873"/>
      <c r="DL34" s="875"/>
      <c r="DM34" s="875"/>
      <c r="DN34" s="875"/>
      <c r="DO34" s="875"/>
      <c r="DP34" s="875"/>
      <c r="DQ34" s="875"/>
      <c r="DR34" s="875"/>
      <c r="DS34" s="875"/>
      <c r="DT34" s="875"/>
      <c r="DU34" s="875"/>
      <c r="DV34" s="875"/>
      <c r="DW34" s="875"/>
      <c r="DX34" s="873"/>
      <c r="DY34" s="875"/>
      <c r="DZ34" s="875"/>
      <c r="EA34" s="875"/>
      <c r="EB34" s="875"/>
      <c r="EC34" s="875"/>
      <c r="ED34" s="875"/>
      <c r="EE34" s="875"/>
      <c r="EF34" s="875"/>
      <c r="EG34" s="875"/>
      <c r="EH34" s="875"/>
      <c r="EI34" s="875"/>
      <c r="EJ34" s="875"/>
      <c r="EK34" s="814"/>
      <c r="EL34" s="871"/>
      <c r="EM34" s="871"/>
      <c r="EN34" s="871"/>
      <c r="EO34" s="871"/>
      <c r="EP34" s="871"/>
    </row>
  </sheetData>
  <mergeCells count="131">
    <mergeCell ref="B2:B3"/>
    <mergeCell ref="DX1:EA1"/>
    <mergeCell ref="DX2:EA2"/>
    <mergeCell ref="J3:K3"/>
    <mergeCell ref="E3:I3"/>
    <mergeCell ref="EK1:EN1"/>
    <mergeCell ref="EK2:EN2"/>
    <mergeCell ref="CG1:CJ1"/>
    <mergeCell ref="CG2:CJ2"/>
    <mergeCell ref="CX1:DA1"/>
    <mergeCell ref="CX2:DA2"/>
    <mergeCell ref="DK1:DN1"/>
    <mergeCell ref="DK2:DN2"/>
    <mergeCell ref="EO6:EO18"/>
    <mergeCell ref="CA18:CB18"/>
    <mergeCell ref="BY18:BZ18"/>
    <mergeCell ref="AQ6:AX6"/>
    <mergeCell ref="EL6:EL18"/>
    <mergeCell ref="AP1:AS1"/>
    <mergeCell ref="AP2:AS2"/>
    <mergeCell ref="AY1:BB1"/>
    <mergeCell ref="AY2:BB2"/>
    <mergeCell ref="BP1:BS1"/>
    <mergeCell ref="BP2:BS2"/>
    <mergeCell ref="AY6:AY12"/>
    <mergeCell ref="AY13:AY14"/>
    <mergeCell ref="BP13:BP14"/>
    <mergeCell ref="BP6:BP12"/>
    <mergeCell ref="CG6:CG12"/>
    <mergeCell ref="CX6:CX12"/>
    <mergeCell ref="DY6:EJ10"/>
    <mergeCell ref="EH18:EJ18"/>
    <mergeCell ref="DY18:EA18"/>
    <mergeCell ref="DH18:DJ18"/>
    <mergeCell ref="DU18:DW18"/>
    <mergeCell ref="DK6:DK12"/>
    <mergeCell ref="EB18:ED18"/>
    <mergeCell ref="I5:J5"/>
    <mergeCell ref="O6:O18"/>
    <mergeCell ref="K6:L18"/>
    <mergeCell ref="U6:U9"/>
    <mergeCell ref="V6:V8"/>
    <mergeCell ref="W6:W9"/>
    <mergeCell ref="Q6:R8"/>
    <mergeCell ref="EP6:EP18"/>
    <mergeCell ref="CT18:CU18"/>
    <mergeCell ref="CV18:CW18"/>
    <mergeCell ref="DE18:DG18"/>
    <mergeCell ref="DL18:DN18"/>
    <mergeCell ref="Q9:R16"/>
    <mergeCell ref="AH6:AO6"/>
    <mergeCell ref="BB18:BC18"/>
    <mergeCell ref="BQ18:BR18"/>
    <mergeCell ref="BJ18:BK18"/>
    <mergeCell ref="CR18:CS18"/>
    <mergeCell ref="CE18:CF18"/>
    <mergeCell ref="BW18:BX18"/>
    <mergeCell ref="CN18:CO18"/>
    <mergeCell ref="BL18:BM18"/>
    <mergeCell ref="CP18:CQ18"/>
    <mergeCell ref="AS7:AT17"/>
    <mergeCell ref="DR18:DT18"/>
    <mergeCell ref="DL6:DW10"/>
    <mergeCell ref="C6:C18"/>
    <mergeCell ref="AP6:AP17"/>
    <mergeCell ref="E6:E17"/>
    <mergeCell ref="AH7:AO8"/>
    <mergeCell ref="Z6:Z18"/>
    <mergeCell ref="AA6:AA18"/>
    <mergeCell ref="AB6:AC17"/>
    <mergeCell ref="DB18:DD18"/>
    <mergeCell ref="CY6:DJ10"/>
    <mergeCell ref="CJ18:CK18"/>
    <mergeCell ref="CY18:DA18"/>
    <mergeCell ref="EM5:EN5"/>
    <mergeCell ref="AB5:AC5"/>
    <mergeCell ref="AH5:AO5"/>
    <mergeCell ref="AQ5:AX5"/>
    <mergeCell ref="AZ5:BO5"/>
    <mergeCell ref="BD18:BE18"/>
    <mergeCell ref="BS18:BT18"/>
    <mergeCell ref="DY5:EJ5"/>
    <mergeCell ref="AD6:AD18"/>
    <mergeCell ref="CC18:CD18"/>
    <mergeCell ref="AZ18:BA18"/>
    <mergeCell ref="DX6:DX12"/>
    <mergeCell ref="BU18:BV18"/>
    <mergeCell ref="BN18:BO18"/>
    <mergeCell ref="BQ6:CF8"/>
    <mergeCell ref="CH6:CW8"/>
    <mergeCell ref="EM6:EN7"/>
    <mergeCell ref="EK6:EK18"/>
    <mergeCell ref="CL18:CM18"/>
    <mergeCell ref="CH18:CI18"/>
    <mergeCell ref="DO18:DQ18"/>
    <mergeCell ref="BF18:BG18"/>
    <mergeCell ref="BH18:BI18"/>
    <mergeCell ref="EE18:EG18"/>
    <mergeCell ref="BQ5:CF5"/>
    <mergeCell ref="CH5:CW5"/>
    <mergeCell ref="CY5:DJ5"/>
    <mergeCell ref="DL5:DW5"/>
    <mergeCell ref="AU7:AV17"/>
    <mergeCell ref="AW7:AX17"/>
    <mergeCell ref="X6:X10"/>
    <mergeCell ref="Y6:Y12"/>
    <mergeCell ref="AZ6:BO8"/>
    <mergeCell ref="B7:B18"/>
    <mergeCell ref="AQ7:AR17"/>
    <mergeCell ref="C3:D3"/>
    <mergeCell ref="A5:A19"/>
    <mergeCell ref="AH9:AI17"/>
    <mergeCell ref="AJ9:AK17"/>
    <mergeCell ref="AL9:AM17"/>
    <mergeCell ref="AN9:AO17"/>
    <mergeCell ref="G6:G18"/>
    <mergeCell ref="AE6:AE18"/>
    <mergeCell ref="AF6:AF18"/>
    <mergeCell ref="AG6:AG18"/>
    <mergeCell ref="S6:S18"/>
    <mergeCell ref="M6:M8"/>
    <mergeCell ref="T11:T18"/>
    <mergeCell ref="T6:T9"/>
    <mergeCell ref="N6:N17"/>
    <mergeCell ref="K5:L5"/>
    <mergeCell ref="D6:D11"/>
    <mergeCell ref="H6:H13"/>
    <mergeCell ref="I6:J11"/>
    <mergeCell ref="F6:F14"/>
    <mergeCell ref="P6:P18"/>
    <mergeCell ref="Q5:R5"/>
  </mergeCells>
  <pageMargins left="0.314" right="0.314" top="0.11799999999999999" bottom="0.27500000000000002" header="0.157" footer="0.11799999999999999"/>
  <pageSetup scale="90" firstPageNumber="65" orientation="landscape" r:id="rId1"/>
  <headerFooter>
    <oddFooter>&amp;C&amp;P</oddFooter>
  </headerFooter>
  <colBreaks count="10" manualBreakCount="10">
    <brk id="4" max="1048575" man="1"/>
    <brk id="25" max="33" man="1"/>
    <brk id="41" max="1048575" man="1"/>
    <brk id="50" max="33" man="1"/>
    <brk id="67" max="33" man="1"/>
    <brk id="84" max="1048575" man="1"/>
    <brk id="101" max="1048575" man="1"/>
    <brk id="114" max="33" man="1"/>
    <brk id="127" max="1048575" man="1"/>
    <brk id="140"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T44"/>
  <sheetViews>
    <sheetView view="pageBreakPreview" zoomScale="130" zoomScaleNormal="130" zoomScaleSheetLayoutView="130" workbookViewId="0">
      <selection activeCell="C21" sqref="C21"/>
    </sheetView>
  </sheetViews>
  <sheetFormatPr defaultColWidth="8.81640625" defaultRowHeight="12.5" x14ac:dyDescent="0.25"/>
  <cols>
    <col min="1" max="1" width="4.26953125" style="70" customWidth="1"/>
    <col min="2" max="10" width="9.1796875" style="70" customWidth="1"/>
    <col min="11" max="11" width="7.453125" style="70" customWidth="1"/>
    <col min="12" max="12" width="8.453125" style="70" customWidth="1"/>
    <col min="13" max="14" width="2.81640625" style="70" customWidth="1"/>
    <col min="15" max="20" width="2.81640625" customWidth="1"/>
  </cols>
  <sheetData>
    <row r="1" spans="1:20" x14ac:dyDescent="0.25">
      <c r="A1" s="110" t="s">
        <v>73</v>
      </c>
    </row>
    <row r="2" spans="1:20" ht="13" thickBot="1" x14ac:dyDescent="0.3">
      <c r="A2" s="66" t="s">
        <v>74</v>
      </c>
      <c r="B2" s="66" t="s">
        <v>75</v>
      </c>
      <c r="C2" s="67"/>
      <c r="D2" s="67"/>
      <c r="E2" s="67"/>
      <c r="F2" s="67"/>
      <c r="G2" s="67"/>
      <c r="H2" s="67"/>
      <c r="I2" s="67"/>
      <c r="J2" s="67"/>
      <c r="K2" s="67"/>
      <c r="L2" s="67"/>
    </row>
    <row r="3" spans="1:20" ht="13" thickBot="1" x14ac:dyDescent="0.3">
      <c r="A3" s="1518" t="s">
        <v>76</v>
      </c>
      <c r="B3" s="1519" t="s">
        <v>77</v>
      </c>
      <c r="C3" s="129"/>
      <c r="D3" s="129"/>
      <c r="E3" s="692" t="s">
        <v>78</v>
      </c>
      <c r="F3" s="2757"/>
      <c r="G3" s="2756"/>
      <c r="H3" s="2756"/>
      <c r="I3" s="2756"/>
      <c r="J3" s="2756"/>
      <c r="K3" s="2756"/>
      <c r="L3" s="129" t="s">
        <v>79</v>
      </c>
      <c r="M3" s="715"/>
      <c r="N3" s="719"/>
      <c r="O3" s="716"/>
      <c r="P3" s="719"/>
      <c r="Q3" s="730"/>
      <c r="R3" s="730"/>
      <c r="S3" s="723"/>
      <c r="T3" s="724"/>
    </row>
    <row r="4" spans="1:20" ht="13" thickBot="1" x14ac:dyDescent="0.3">
      <c r="A4" s="1518" t="s">
        <v>80</v>
      </c>
      <c r="B4" s="1519" t="s">
        <v>81</v>
      </c>
      <c r="C4" s="129"/>
      <c r="D4" s="129"/>
      <c r="E4" s="692" t="s">
        <v>78</v>
      </c>
      <c r="F4" s="2757"/>
      <c r="G4" s="2756"/>
      <c r="H4" s="2756"/>
      <c r="I4" s="2756"/>
      <c r="J4" s="2756"/>
      <c r="K4" s="2756"/>
      <c r="L4" s="129" t="s">
        <v>79</v>
      </c>
      <c r="M4" s="694"/>
      <c r="N4" s="695"/>
      <c r="O4" s="688"/>
      <c r="P4" s="695"/>
      <c r="Q4" s="723"/>
      <c r="R4" s="723"/>
      <c r="S4" s="723"/>
      <c r="T4" s="724"/>
    </row>
    <row r="5" spans="1:20" ht="13" thickBot="1" x14ac:dyDescent="0.3">
      <c r="A5" s="1518" t="s">
        <v>82</v>
      </c>
      <c r="B5" s="1519" t="s">
        <v>83</v>
      </c>
      <c r="C5" s="129"/>
      <c r="D5" s="129"/>
      <c r="E5" s="692" t="s">
        <v>78</v>
      </c>
      <c r="F5" s="2757"/>
      <c r="G5" s="2756"/>
      <c r="H5" s="2756"/>
      <c r="I5" s="2756"/>
      <c r="J5" s="2756"/>
      <c r="K5" s="2756"/>
      <c r="L5" s="129" t="s">
        <v>79</v>
      </c>
      <c r="M5" s="697"/>
      <c r="N5" s="698"/>
      <c r="O5" s="693"/>
      <c r="P5" s="698"/>
      <c r="Q5" s="696"/>
      <c r="R5" s="720"/>
      <c r="S5" s="721"/>
      <c r="T5" s="722"/>
    </row>
    <row r="6" spans="1:20" ht="13" thickBot="1" x14ac:dyDescent="0.3">
      <c r="A6" s="112" t="s">
        <v>84</v>
      </c>
      <c r="B6" s="113" t="s">
        <v>85</v>
      </c>
      <c r="C6" s="114"/>
      <c r="D6" s="114"/>
      <c r="E6" s="115"/>
      <c r="F6" s="2762" t="s">
        <v>86</v>
      </c>
      <c r="G6" s="2762"/>
      <c r="H6" s="2762"/>
      <c r="I6" s="2762"/>
      <c r="J6" s="2762"/>
      <c r="K6" s="2762"/>
      <c r="L6" s="114" t="s">
        <v>79</v>
      </c>
      <c r="M6" s="694"/>
      <c r="N6" s="688"/>
      <c r="O6" s="727"/>
      <c r="P6" s="728"/>
      <c r="Q6" s="728"/>
      <c r="R6" s="728"/>
      <c r="S6" s="728"/>
      <c r="T6" s="729"/>
    </row>
    <row r="7" spans="1:20" ht="13" thickBot="1" x14ac:dyDescent="0.3">
      <c r="A7" s="701" t="s">
        <v>87</v>
      </c>
      <c r="B7" s="702" t="s">
        <v>88</v>
      </c>
      <c r="C7" s="118"/>
      <c r="D7" s="118"/>
      <c r="E7" s="703" t="s">
        <v>78</v>
      </c>
      <c r="F7" s="2758"/>
      <c r="G7" s="2759"/>
      <c r="H7" s="2759"/>
      <c r="I7" s="2759"/>
      <c r="J7" s="2759"/>
      <c r="K7" s="2759"/>
      <c r="L7" s="69"/>
      <c r="M7" s="138"/>
      <c r="N7" s="138"/>
      <c r="O7" s="5"/>
      <c r="P7" s="5"/>
      <c r="Q7" s="5"/>
      <c r="R7" s="5"/>
      <c r="S7" s="5"/>
      <c r="T7" s="137"/>
    </row>
    <row r="8" spans="1:20" ht="13" thickBot="1" x14ac:dyDescent="0.3">
      <c r="A8" s="1518" t="s">
        <v>89</v>
      </c>
      <c r="B8" s="1519" t="s">
        <v>90</v>
      </c>
      <c r="C8" s="1520"/>
      <c r="D8" s="129"/>
      <c r="E8" s="704"/>
      <c r="F8" s="2763"/>
      <c r="G8" s="2760"/>
      <c r="H8" s="2760"/>
      <c r="I8" s="2760"/>
      <c r="J8" s="2760"/>
      <c r="K8" s="2760"/>
      <c r="L8" s="129" t="s">
        <v>79</v>
      </c>
      <c r="M8" s="689"/>
      <c r="N8" s="690"/>
      <c r="O8" s="2750"/>
      <c r="P8" s="2751"/>
      <c r="Q8" s="2750"/>
      <c r="R8" s="2751"/>
      <c r="S8" s="2754"/>
      <c r="T8" s="2755"/>
    </row>
    <row r="9" spans="1:20" ht="13" thickBot="1" x14ac:dyDescent="0.3">
      <c r="A9" s="1518" t="s">
        <v>91</v>
      </c>
      <c r="B9" s="1519" t="s">
        <v>92</v>
      </c>
      <c r="C9" s="1520"/>
      <c r="D9" s="129"/>
      <c r="E9" s="705"/>
      <c r="F9" s="2760"/>
      <c r="G9" s="2760"/>
      <c r="H9" s="2760"/>
      <c r="I9" s="2760"/>
      <c r="J9" s="2760"/>
      <c r="K9" s="2760"/>
      <c r="L9" s="129" t="s">
        <v>79</v>
      </c>
      <c r="M9" s="689"/>
      <c r="N9" s="690"/>
      <c r="O9" s="2750"/>
      <c r="P9" s="2751"/>
      <c r="Q9" s="699"/>
      <c r="R9" s="700"/>
      <c r="S9" s="725"/>
      <c r="T9" s="726"/>
    </row>
    <row r="10" spans="1:20" ht="13" thickBot="1" x14ac:dyDescent="0.3">
      <c r="A10" s="1518" t="s">
        <v>93</v>
      </c>
      <c r="B10" s="1519" t="s">
        <v>94</v>
      </c>
      <c r="C10" s="1520"/>
      <c r="D10" s="113" t="s">
        <v>2637</v>
      </c>
      <c r="E10" s="129"/>
      <c r="F10" s="2341"/>
      <c r="G10" s="2341"/>
      <c r="H10" s="2341"/>
      <c r="I10" s="2341"/>
      <c r="J10" s="2341"/>
      <c r="K10" s="2341"/>
      <c r="L10" s="129" t="s">
        <v>79</v>
      </c>
      <c r="M10" s="689"/>
      <c r="N10" s="690"/>
      <c r="O10" s="1892"/>
      <c r="P10" s="1892"/>
      <c r="Q10" s="700"/>
      <c r="R10" s="700"/>
      <c r="S10" s="721"/>
      <c r="T10" s="722"/>
    </row>
    <row r="11" spans="1:20" ht="13" thickBot="1" x14ac:dyDescent="0.3">
      <c r="A11" s="1518" t="s">
        <v>95</v>
      </c>
      <c r="B11" s="113" t="s">
        <v>2636</v>
      </c>
      <c r="C11" s="1520"/>
      <c r="D11" s="691"/>
      <c r="E11" s="129"/>
      <c r="F11" s="2556" t="s">
        <v>771</v>
      </c>
      <c r="G11" s="2556" t="str">
        <f>CONCATENATE("2 Non ►",A13)</f>
        <v>2 Non ►07D.-</v>
      </c>
      <c r="H11" s="2556"/>
      <c r="I11" s="2556"/>
      <c r="J11" s="2556"/>
      <c r="K11" s="2556"/>
      <c r="L11" s="129"/>
      <c r="M11" s="689"/>
      <c r="N11" s="690"/>
      <c r="O11" s="1892"/>
      <c r="P11" s="1892"/>
      <c r="Q11" s="700"/>
      <c r="R11" s="700"/>
      <c r="S11" s="721"/>
      <c r="T11" s="722"/>
    </row>
    <row r="12" spans="1:20" ht="13" thickBot="1" x14ac:dyDescent="0.3">
      <c r="A12" s="1518" t="s">
        <v>99</v>
      </c>
      <c r="B12" s="113" t="s">
        <v>2638</v>
      </c>
      <c r="C12" s="1520"/>
      <c r="D12" s="691"/>
      <c r="E12" s="129"/>
      <c r="F12" s="2556"/>
      <c r="G12" s="2556"/>
      <c r="H12" s="2556"/>
      <c r="I12" s="2556"/>
      <c r="J12" s="2556"/>
      <c r="K12" s="2556" t="s">
        <v>920</v>
      </c>
      <c r="L12" s="129" t="s">
        <v>925</v>
      </c>
      <c r="M12" s="689"/>
      <c r="N12" s="690"/>
      <c r="O12" s="1892"/>
      <c r="P12" s="1892"/>
      <c r="Q12" s="700"/>
      <c r="R12" s="700"/>
      <c r="S12" s="721"/>
      <c r="T12" s="722"/>
    </row>
    <row r="13" spans="1:20" ht="13" thickBot="1" x14ac:dyDescent="0.3">
      <c r="A13" s="1518" t="s">
        <v>2639</v>
      </c>
      <c r="B13" s="1519" t="s">
        <v>96</v>
      </c>
      <c r="C13" s="1520"/>
      <c r="D13" s="691"/>
      <c r="E13" s="129"/>
      <c r="F13" s="2341"/>
      <c r="G13" s="2341" t="s">
        <v>97</v>
      </c>
      <c r="H13" s="2341" t="s">
        <v>98</v>
      </c>
      <c r="I13" s="2341"/>
      <c r="J13" s="2341"/>
      <c r="K13" s="2341"/>
      <c r="L13" s="129"/>
      <c r="M13" s="689"/>
      <c r="N13" s="690"/>
      <c r="O13" s="1892"/>
      <c r="P13" s="1892"/>
      <c r="Q13" s="700"/>
      <c r="R13" s="700"/>
      <c r="S13" s="721"/>
      <c r="T13" s="722"/>
    </row>
    <row r="14" spans="1:20" x14ac:dyDescent="0.25">
      <c r="A14" s="1518" t="s">
        <v>2640</v>
      </c>
      <c r="B14" s="1519" t="s">
        <v>100</v>
      </c>
      <c r="C14" s="1520"/>
      <c r="D14" s="691"/>
      <c r="E14" s="129"/>
      <c r="F14" s="2341"/>
      <c r="G14" s="2341" t="s">
        <v>97</v>
      </c>
      <c r="H14" s="2341" t="s">
        <v>98</v>
      </c>
      <c r="I14" s="2341"/>
      <c r="J14" s="2341"/>
      <c r="K14" s="2341"/>
      <c r="L14" s="129"/>
      <c r="M14" s="689"/>
      <c r="N14" s="690"/>
      <c r="O14" s="1892"/>
      <c r="P14" s="1892"/>
      <c r="Q14" s="700"/>
      <c r="R14" s="700"/>
      <c r="S14" s="721"/>
      <c r="T14" s="722"/>
    </row>
    <row r="15" spans="1:20" x14ac:dyDescent="0.25">
      <c r="A15" s="1518" t="s">
        <v>2641</v>
      </c>
      <c r="B15" s="1519" t="s">
        <v>101</v>
      </c>
      <c r="C15" s="1520"/>
      <c r="D15" s="691"/>
      <c r="E15" s="129"/>
      <c r="F15" s="2341"/>
      <c r="G15" s="2341"/>
      <c r="H15" s="2341"/>
      <c r="I15" s="2341"/>
      <c r="J15" s="2341"/>
      <c r="K15" s="2341"/>
      <c r="L15" s="129" t="s">
        <v>79</v>
      </c>
      <c r="M15" s="689"/>
      <c r="N15" s="690"/>
      <c r="O15" s="2750"/>
      <c r="P15" s="2751"/>
      <c r="Q15" s="2750"/>
      <c r="R15" s="2751"/>
      <c r="S15" s="2754"/>
      <c r="T15" s="2755"/>
    </row>
    <row r="16" spans="1:20" x14ac:dyDescent="0.25">
      <c r="A16" s="1518" t="s">
        <v>2642</v>
      </c>
      <c r="B16" s="1519" t="s">
        <v>102</v>
      </c>
      <c r="C16" s="1520"/>
      <c r="D16" s="691"/>
      <c r="E16" s="129"/>
      <c r="F16" s="2341"/>
      <c r="G16" s="2341"/>
      <c r="H16" s="2341"/>
      <c r="I16" s="2341"/>
      <c r="J16" s="2341"/>
      <c r="K16" s="2341"/>
      <c r="L16" s="129" t="s">
        <v>79</v>
      </c>
      <c r="M16" s="689"/>
      <c r="N16" s="2278"/>
      <c r="O16" s="2279"/>
      <c r="P16" s="2280"/>
      <c r="Q16" s="723"/>
      <c r="R16" s="723"/>
      <c r="S16" s="723"/>
      <c r="T16" s="724"/>
    </row>
    <row r="17" spans="1:20" x14ac:dyDescent="0.25">
      <c r="A17" s="141" t="s">
        <v>103</v>
      </c>
      <c r="B17" s="706" t="s">
        <v>104</v>
      </c>
      <c r="C17" s="705"/>
      <c r="D17" s="691" t="s">
        <v>105</v>
      </c>
      <c r="E17" s="129"/>
      <c r="F17" s="2341"/>
      <c r="G17" s="2341"/>
      <c r="H17" s="2341"/>
      <c r="I17" s="2341"/>
      <c r="J17" s="2341"/>
      <c r="K17" s="2341"/>
      <c r="L17" s="129" t="s">
        <v>79</v>
      </c>
      <c r="M17" s="697"/>
      <c r="N17" s="698"/>
      <c r="O17" s="737"/>
      <c r="P17" s="737"/>
      <c r="Q17" s="723"/>
      <c r="R17" s="723"/>
      <c r="S17" s="723"/>
      <c r="T17" s="724"/>
    </row>
    <row r="18" spans="1:20" x14ac:dyDescent="0.25">
      <c r="A18" s="116" t="s">
        <v>106</v>
      </c>
      <c r="B18" s="121" t="s">
        <v>107</v>
      </c>
      <c r="C18" s="114"/>
      <c r="D18" s="113" t="s">
        <v>108</v>
      </c>
      <c r="E18" s="115"/>
      <c r="F18" s="113"/>
      <c r="G18" s="114"/>
      <c r="H18" s="114"/>
      <c r="I18" s="114"/>
      <c r="J18" s="114"/>
      <c r="K18" s="114"/>
      <c r="L18" s="115" t="s">
        <v>79</v>
      </c>
      <c r="M18" s="731"/>
      <c r="N18" s="732"/>
      <c r="O18" s="728"/>
      <c r="P18" s="728"/>
      <c r="Q18" s="728"/>
      <c r="R18" s="728"/>
      <c r="S18" s="728"/>
      <c r="T18" s="729"/>
    </row>
    <row r="19" spans="1:20" ht="13" thickBot="1" x14ac:dyDescent="0.3">
      <c r="A19" s="132" t="s">
        <v>109</v>
      </c>
      <c r="B19" s="133" t="s">
        <v>110</v>
      </c>
      <c r="C19" s="77"/>
      <c r="D19" s="77"/>
      <c r="E19" s="77"/>
      <c r="F19" s="77"/>
      <c r="G19" s="77"/>
      <c r="H19" s="77"/>
      <c r="I19" s="117"/>
      <c r="J19" s="117"/>
      <c r="K19" s="117"/>
      <c r="L19" s="117"/>
      <c r="M19" s="134"/>
      <c r="N19" s="134"/>
      <c r="O19" s="135"/>
      <c r="P19" s="135"/>
      <c r="Q19" s="135"/>
      <c r="R19" s="135"/>
      <c r="S19" s="135"/>
      <c r="T19" s="135"/>
    </row>
    <row r="20" spans="1:20" ht="13" thickBot="1" x14ac:dyDescent="0.3">
      <c r="A20" s="131" t="s">
        <v>111</v>
      </c>
      <c r="B20" s="121" t="s">
        <v>112</v>
      </c>
      <c r="C20" s="114"/>
      <c r="D20" s="114"/>
      <c r="E20" s="2752"/>
      <c r="F20" s="2752"/>
      <c r="G20" s="2752"/>
      <c r="H20" s="2752"/>
      <c r="I20" s="2752"/>
      <c r="J20" s="2752"/>
      <c r="K20" s="2752"/>
      <c r="L20" s="119"/>
      <c r="M20" s="122"/>
      <c r="N20" s="122"/>
      <c r="O20" s="123"/>
      <c r="P20" s="123"/>
      <c r="Q20" s="123"/>
      <c r="R20" s="123"/>
      <c r="S20" s="123"/>
      <c r="T20" s="130"/>
    </row>
    <row r="21" spans="1:20" ht="13" thickBot="1" x14ac:dyDescent="0.3">
      <c r="A21" s="131" t="s">
        <v>113</v>
      </c>
      <c r="B21" s="121" t="s">
        <v>114</v>
      </c>
      <c r="C21" s="114"/>
      <c r="D21" s="114"/>
      <c r="E21" s="2752"/>
      <c r="F21" s="2752"/>
      <c r="G21" s="2752"/>
      <c r="H21" s="2752"/>
      <c r="I21" s="2752"/>
      <c r="J21" s="2752"/>
      <c r="K21" s="2752"/>
      <c r="L21" s="119"/>
      <c r="M21" s="122"/>
      <c r="N21" s="122"/>
      <c r="O21" s="123"/>
      <c r="P21" s="123"/>
      <c r="Q21" s="123"/>
      <c r="R21" s="123"/>
      <c r="S21" s="123"/>
      <c r="T21" s="130"/>
    </row>
    <row r="22" spans="1:20" x14ac:dyDescent="0.25">
      <c r="A22" s="131" t="s">
        <v>115</v>
      </c>
      <c r="B22" s="121" t="s">
        <v>116</v>
      </c>
      <c r="C22" s="114"/>
      <c r="D22" s="114"/>
      <c r="E22" s="114"/>
      <c r="F22" s="2762"/>
      <c r="G22" s="2762"/>
      <c r="H22" s="2762"/>
      <c r="I22" s="2762"/>
      <c r="J22" s="2762"/>
      <c r="K22" s="2762"/>
      <c r="L22" s="126" t="s">
        <v>117</v>
      </c>
      <c r="M22" s="124"/>
      <c r="N22" s="124"/>
      <c r="O22" s="125"/>
      <c r="P22" s="125"/>
      <c r="Q22" s="125"/>
      <c r="R22" s="125"/>
      <c r="S22" s="125"/>
      <c r="T22" s="130"/>
    </row>
    <row r="23" spans="1:20" x14ac:dyDescent="0.25">
      <c r="A23" s="131" t="s">
        <v>118</v>
      </c>
      <c r="B23" s="121" t="s">
        <v>119</v>
      </c>
      <c r="C23" s="114"/>
      <c r="D23" s="114"/>
      <c r="E23" s="114"/>
      <c r="F23" s="2340"/>
      <c r="G23" s="2340"/>
      <c r="H23" s="2340"/>
      <c r="I23" s="2340"/>
      <c r="J23" s="2340"/>
      <c r="K23" s="2340"/>
      <c r="L23" s="126"/>
      <c r="M23" s="122"/>
      <c r="N23" s="122"/>
      <c r="O23" s="123"/>
      <c r="P23" s="123"/>
      <c r="Q23" s="123"/>
      <c r="R23" s="123"/>
      <c r="S23" s="123"/>
      <c r="T23" s="130"/>
    </row>
    <row r="24" spans="1:20" x14ac:dyDescent="0.25">
      <c r="A24" s="131" t="s">
        <v>120</v>
      </c>
      <c r="B24" s="121" t="s">
        <v>121</v>
      </c>
      <c r="C24" s="114"/>
      <c r="D24" s="114"/>
      <c r="E24" s="114"/>
      <c r="F24" s="114"/>
      <c r="G24" s="114"/>
      <c r="H24" s="2752"/>
      <c r="I24" s="2752"/>
      <c r="J24" s="2752"/>
      <c r="K24" s="2752"/>
      <c r="L24" s="119"/>
      <c r="M24" s="122"/>
      <c r="N24" s="122"/>
      <c r="O24" s="123"/>
      <c r="P24" s="123"/>
      <c r="Q24" s="123"/>
      <c r="R24" s="123"/>
      <c r="S24" s="123"/>
      <c r="T24" s="130"/>
    </row>
    <row r="25" spans="1:20" x14ac:dyDescent="0.25">
      <c r="A25" s="131" t="s">
        <v>122</v>
      </c>
      <c r="B25" s="121" t="s">
        <v>123</v>
      </c>
      <c r="C25" s="114"/>
      <c r="D25" s="114"/>
      <c r="E25" s="114"/>
      <c r="F25" s="114"/>
      <c r="G25" s="114"/>
      <c r="H25" s="114"/>
      <c r="I25" s="2340"/>
      <c r="J25" s="2340"/>
      <c r="K25" s="2340"/>
      <c r="L25" s="120" t="s">
        <v>117</v>
      </c>
      <c r="M25" s="124"/>
      <c r="N25" s="124"/>
      <c r="O25" s="125"/>
      <c r="P25" s="125"/>
      <c r="Q25" s="125"/>
      <c r="R25" s="125"/>
      <c r="S25" s="125"/>
      <c r="T25" s="130"/>
    </row>
    <row r="26" spans="1:20" ht="13" thickBot="1" x14ac:dyDescent="0.3">
      <c r="A26" s="131" t="s">
        <v>124</v>
      </c>
      <c r="B26" s="121" t="s">
        <v>125</v>
      </c>
      <c r="C26" s="114"/>
      <c r="D26" s="114"/>
      <c r="E26" s="114"/>
      <c r="F26" s="114"/>
      <c r="G26" s="114"/>
      <c r="H26" s="114"/>
      <c r="I26" s="2752"/>
      <c r="J26" s="2752"/>
      <c r="K26" s="2752"/>
      <c r="L26" s="119"/>
      <c r="M26" s="122"/>
      <c r="N26" s="122"/>
      <c r="O26" s="123"/>
      <c r="P26" s="123"/>
      <c r="Q26" s="123"/>
      <c r="R26" s="123"/>
      <c r="S26" s="123"/>
      <c r="T26" s="130"/>
    </row>
    <row r="27" spans="1:20" ht="13" thickBot="1" x14ac:dyDescent="0.3">
      <c r="A27" s="131" t="s">
        <v>126</v>
      </c>
      <c r="B27" s="121" t="s">
        <v>127</v>
      </c>
      <c r="C27" s="114"/>
      <c r="D27" s="114"/>
      <c r="E27" s="114"/>
      <c r="F27" s="114"/>
      <c r="G27" s="114"/>
      <c r="H27" s="114"/>
      <c r="I27" s="2340"/>
      <c r="J27" s="2340"/>
      <c r="K27" s="2340"/>
      <c r="L27" s="120" t="s">
        <v>117</v>
      </c>
      <c r="M27" s="124"/>
      <c r="N27" s="124"/>
      <c r="O27" s="125"/>
      <c r="P27" s="125"/>
      <c r="Q27" s="125"/>
      <c r="R27" s="125"/>
      <c r="S27" s="125"/>
      <c r="T27" s="130"/>
    </row>
    <row r="28" spans="1:20" ht="13" thickBot="1" x14ac:dyDescent="0.3">
      <c r="A28" s="131" t="s">
        <v>128</v>
      </c>
      <c r="B28" s="121" t="s">
        <v>129</v>
      </c>
      <c r="C28" s="114"/>
      <c r="D28" s="114"/>
      <c r="E28" s="114"/>
      <c r="F28" s="114"/>
      <c r="G28" s="114"/>
      <c r="H28" s="114"/>
      <c r="I28" s="2752"/>
      <c r="J28" s="2752"/>
      <c r="K28" s="2752"/>
      <c r="L28" s="119"/>
      <c r="M28" s="122"/>
      <c r="N28" s="122"/>
      <c r="O28" s="123"/>
      <c r="P28" s="123"/>
      <c r="Q28" s="123"/>
      <c r="R28" s="123"/>
      <c r="S28" s="123"/>
      <c r="T28" s="130"/>
    </row>
    <row r="29" spans="1:20" ht="13" thickBot="1" x14ac:dyDescent="0.3">
      <c r="A29" s="131" t="s">
        <v>130</v>
      </c>
      <c r="B29" s="121" t="s">
        <v>127</v>
      </c>
      <c r="C29" s="114"/>
      <c r="D29" s="114"/>
      <c r="E29" s="114"/>
      <c r="F29" s="114"/>
      <c r="G29" s="114"/>
      <c r="H29" s="114"/>
      <c r="I29" s="2340"/>
      <c r="J29" s="2340"/>
      <c r="K29" s="2340"/>
      <c r="L29" s="120" t="s">
        <v>117</v>
      </c>
      <c r="M29" s="124"/>
      <c r="N29" s="124"/>
      <c r="O29" s="125"/>
      <c r="P29" s="125"/>
      <c r="Q29" s="125"/>
      <c r="R29" s="125"/>
      <c r="S29" s="125"/>
      <c r="T29" s="130"/>
    </row>
    <row r="30" spans="1:20" s="71" customFormat="1" ht="13" thickBot="1" x14ac:dyDescent="0.3">
      <c r="A30" s="127" t="s">
        <v>131</v>
      </c>
      <c r="B30" s="111" t="s">
        <v>132</v>
      </c>
      <c r="C30" s="78"/>
      <c r="D30" s="69"/>
      <c r="E30" s="69"/>
      <c r="F30" s="69"/>
      <c r="G30" s="69"/>
      <c r="H30" s="69"/>
      <c r="I30" s="2343"/>
      <c r="J30" s="2343"/>
      <c r="K30" s="2343"/>
      <c r="L30" s="2343"/>
      <c r="M30" s="72"/>
      <c r="N30" s="72"/>
    </row>
    <row r="31" spans="1:20" ht="13" thickBot="1" x14ac:dyDescent="0.3">
      <c r="A31" s="116" t="s">
        <v>133</v>
      </c>
      <c r="B31" s="114" t="s">
        <v>134</v>
      </c>
      <c r="C31" s="114"/>
      <c r="D31" s="114"/>
      <c r="E31" s="2752"/>
      <c r="F31" s="2752"/>
      <c r="G31" s="2752"/>
      <c r="H31" s="2752"/>
      <c r="I31" s="2752"/>
      <c r="J31" s="2752"/>
      <c r="K31" s="2752"/>
      <c r="L31" s="114" t="s">
        <v>79</v>
      </c>
      <c r="M31" s="694"/>
      <c r="N31" s="695"/>
      <c r="O31" s="688"/>
      <c r="P31" s="695"/>
      <c r="Q31" s="727"/>
      <c r="R31" s="728"/>
      <c r="S31" s="728"/>
      <c r="T31" s="729"/>
    </row>
    <row r="32" spans="1:20" ht="13" thickBot="1" x14ac:dyDescent="0.3">
      <c r="A32" s="141" t="s">
        <v>135</v>
      </c>
      <c r="B32" s="129" t="s">
        <v>136</v>
      </c>
      <c r="C32" s="129"/>
      <c r="D32" s="129"/>
      <c r="E32" s="2756"/>
      <c r="F32" s="2756"/>
      <c r="G32" s="2756"/>
      <c r="H32" s="2756"/>
      <c r="I32" s="2756"/>
      <c r="J32" s="2756"/>
      <c r="K32" s="2756"/>
      <c r="L32" s="129" t="s">
        <v>79</v>
      </c>
      <c r="M32" s="697"/>
      <c r="N32" s="698"/>
      <c r="O32" s="697"/>
      <c r="P32" s="698"/>
      <c r="Q32" s="727"/>
      <c r="R32" s="728"/>
      <c r="S32" s="723"/>
      <c r="T32" s="724"/>
    </row>
    <row r="33" spans="1:20" ht="13" thickBot="1" x14ac:dyDescent="0.3">
      <c r="A33" s="116" t="s">
        <v>137</v>
      </c>
      <c r="B33" s="114" t="s">
        <v>138</v>
      </c>
      <c r="C33" s="114"/>
      <c r="D33" s="114"/>
      <c r="E33" s="2752"/>
      <c r="F33" s="2752"/>
      <c r="G33" s="2752"/>
      <c r="H33" s="2752"/>
      <c r="I33" s="2752"/>
      <c r="J33" s="2752"/>
      <c r="K33" s="2752"/>
      <c r="L33" s="114" t="s">
        <v>79</v>
      </c>
      <c r="M33" s="694"/>
      <c r="N33" s="688"/>
      <c r="O33" s="694"/>
      <c r="P33" s="695"/>
      <c r="Q33" s="725"/>
      <c r="R33" s="733"/>
      <c r="S33" s="733"/>
      <c r="T33" s="726"/>
    </row>
    <row r="34" spans="1:20" ht="13" thickBot="1" x14ac:dyDescent="0.3">
      <c r="A34" s="116" t="s">
        <v>139</v>
      </c>
      <c r="B34" s="113" t="s">
        <v>140</v>
      </c>
      <c r="C34" s="114"/>
      <c r="D34" s="114"/>
      <c r="E34" s="114"/>
      <c r="F34" s="114"/>
      <c r="G34" s="2339"/>
      <c r="H34" s="2339"/>
      <c r="I34" s="2339"/>
      <c r="J34" s="2339"/>
      <c r="K34" s="2339"/>
      <c r="L34" s="129" t="s">
        <v>141</v>
      </c>
      <c r="M34" s="2753"/>
      <c r="N34" s="2753"/>
      <c r="O34" s="2753"/>
      <c r="P34" s="2753"/>
      <c r="Q34" s="733"/>
      <c r="R34" s="733"/>
      <c r="S34" s="733"/>
      <c r="T34" s="726"/>
    </row>
    <row r="35" spans="1:20" ht="26.25" customHeight="1" thickBot="1" x14ac:dyDescent="0.3">
      <c r="A35" s="136"/>
      <c r="B35" s="118"/>
      <c r="C35" s="118"/>
      <c r="D35" s="2764" t="s">
        <v>142</v>
      </c>
      <c r="E35" s="2765"/>
      <c r="F35" s="2764" t="s">
        <v>143</v>
      </c>
      <c r="G35" s="2765"/>
      <c r="H35" s="2764" t="s">
        <v>144</v>
      </c>
      <c r="I35" s="2765"/>
      <c r="J35" s="2748" t="s">
        <v>145</v>
      </c>
      <c r="K35" s="2749"/>
      <c r="L35" s="2745" t="s">
        <v>146</v>
      </c>
      <c r="M35" s="2746"/>
      <c r="N35" s="2746"/>
      <c r="O35" s="2747"/>
      <c r="P35" s="735"/>
      <c r="Q35" s="735"/>
      <c r="R35" s="735"/>
      <c r="S35" s="735"/>
      <c r="T35" s="736"/>
    </row>
    <row r="36" spans="1:20" ht="13" thickBot="1" x14ac:dyDescent="0.3">
      <c r="A36" s="128" t="s">
        <v>147</v>
      </c>
      <c r="B36" s="114" t="s">
        <v>148</v>
      </c>
      <c r="C36" s="114"/>
      <c r="D36" s="717"/>
      <c r="E36" s="68"/>
      <c r="F36" s="718"/>
      <c r="G36" s="68"/>
      <c r="H36" s="718"/>
      <c r="I36" s="68"/>
      <c r="J36" s="739"/>
      <c r="K36" s="76"/>
      <c r="L36" s="741"/>
      <c r="M36" s="2741"/>
      <c r="N36" s="2741"/>
      <c r="O36" s="2742"/>
      <c r="P36" s="735"/>
      <c r="Q36" s="735"/>
      <c r="R36" s="735"/>
      <c r="S36" s="735"/>
      <c r="T36" s="736"/>
    </row>
    <row r="37" spans="1:20" ht="13" thickBot="1" x14ac:dyDescent="0.3">
      <c r="A37" s="128" t="s">
        <v>149</v>
      </c>
      <c r="B37" s="114" t="s">
        <v>150</v>
      </c>
      <c r="C37" s="114"/>
      <c r="D37" s="717"/>
      <c r="E37" s="68"/>
      <c r="F37" s="718"/>
      <c r="G37" s="68"/>
      <c r="H37" s="718"/>
      <c r="I37" s="68"/>
      <c r="J37" s="739"/>
      <c r="K37" s="76"/>
      <c r="L37" s="741"/>
      <c r="M37" s="2741"/>
      <c r="N37" s="2741"/>
      <c r="O37" s="2742"/>
      <c r="P37" s="735"/>
      <c r="Q37" s="735"/>
      <c r="R37" s="735"/>
      <c r="S37" s="735"/>
      <c r="T37" s="736"/>
    </row>
    <row r="38" spans="1:20" ht="13" thickBot="1" x14ac:dyDescent="0.3">
      <c r="A38" s="708" t="s">
        <v>151</v>
      </c>
      <c r="B38" s="114" t="s">
        <v>152</v>
      </c>
      <c r="C38" s="114"/>
      <c r="D38" s="717"/>
      <c r="E38" s="68"/>
      <c r="F38" s="718"/>
      <c r="G38" s="68"/>
      <c r="H38" s="718"/>
      <c r="I38" s="68"/>
      <c r="J38" s="1286"/>
      <c r="K38" s="1287"/>
      <c r="L38" s="1288"/>
      <c r="M38" s="1289"/>
      <c r="N38" s="1289"/>
      <c r="O38" s="1290"/>
      <c r="P38" s="735"/>
      <c r="Q38" s="735"/>
      <c r="R38" s="735"/>
      <c r="S38" s="735"/>
      <c r="T38" s="736"/>
    </row>
    <row r="39" spans="1:20" ht="13" thickBot="1" x14ac:dyDescent="0.3">
      <c r="A39" s="708" t="s">
        <v>153</v>
      </c>
      <c r="B39" s="129" t="s">
        <v>154</v>
      </c>
      <c r="C39" s="129"/>
      <c r="D39" s="717"/>
      <c r="E39" s="68"/>
      <c r="F39" s="718"/>
      <c r="G39" s="68"/>
      <c r="H39" s="718"/>
      <c r="I39" s="68"/>
      <c r="J39" s="740"/>
      <c r="K39" s="734"/>
      <c r="L39" s="742"/>
      <c r="M39" s="2743"/>
      <c r="N39" s="2743"/>
      <c r="O39" s="2744"/>
      <c r="P39" s="735"/>
      <c r="Q39" s="735"/>
      <c r="R39" s="735"/>
      <c r="S39" s="735"/>
      <c r="T39" s="736"/>
    </row>
    <row r="40" spans="1:20" ht="13" thickBot="1" x14ac:dyDescent="0.3">
      <c r="A40" s="686" t="s">
        <v>155</v>
      </c>
      <c r="B40" s="685" t="s">
        <v>156</v>
      </c>
      <c r="C40" s="685"/>
      <c r="D40" s="2761" t="s">
        <v>157</v>
      </c>
      <c r="E40" s="2761"/>
      <c r="F40" s="2761"/>
      <c r="G40" s="2761"/>
      <c r="H40" s="2761"/>
      <c r="I40" s="2761"/>
      <c r="J40" s="2761"/>
      <c r="K40" s="2761"/>
      <c r="L40" s="685" t="s">
        <v>79</v>
      </c>
      <c r="M40" s="694"/>
      <c r="N40" s="695"/>
      <c r="O40" s="728"/>
      <c r="P40" s="728"/>
      <c r="Q40" s="728"/>
      <c r="R40" s="728"/>
      <c r="S40" s="728"/>
      <c r="T40" s="729"/>
    </row>
    <row r="41" spans="1:20" ht="13" thickBot="1" x14ac:dyDescent="0.3">
      <c r="A41" s="1521" t="s">
        <v>158</v>
      </c>
      <c r="B41" s="1522" t="s">
        <v>159</v>
      </c>
      <c r="C41" s="1522"/>
      <c r="D41" s="1522"/>
      <c r="E41" s="1522"/>
      <c r="F41" s="1522"/>
      <c r="G41" s="1522"/>
      <c r="H41" s="1522"/>
      <c r="I41" s="1522"/>
      <c r="J41" s="1522"/>
      <c r="K41" s="685"/>
      <c r="L41" s="685" t="s">
        <v>79</v>
      </c>
      <c r="M41" s="694"/>
      <c r="N41" s="695"/>
      <c r="O41" s="728"/>
      <c r="P41" s="728"/>
      <c r="Q41" s="728"/>
      <c r="R41" s="728"/>
      <c r="S41" s="728"/>
      <c r="T41" s="729"/>
    </row>
    <row r="42" spans="1:20" ht="13" thickBot="1" x14ac:dyDescent="0.3">
      <c r="A42" s="686" t="s">
        <v>160</v>
      </c>
      <c r="B42" s="685" t="s">
        <v>161</v>
      </c>
      <c r="C42" s="685"/>
      <c r="D42" s="685"/>
      <c r="E42" s="685"/>
      <c r="F42" s="685"/>
      <c r="G42" s="685"/>
      <c r="H42" s="685"/>
      <c r="I42" s="685"/>
      <c r="J42" s="685"/>
      <c r="K42" s="685"/>
      <c r="L42" s="685" t="s">
        <v>162</v>
      </c>
      <c r="M42" s="694"/>
      <c r="N42" s="695"/>
      <c r="O42" s="728"/>
      <c r="P42" s="728"/>
      <c r="Q42" s="728"/>
      <c r="R42" s="728"/>
      <c r="S42" s="728"/>
      <c r="T42" s="729"/>
    </row>
    <row r="43" spans="1:20" ht="13" thickBot="1" x14ac:dyDescent="0.3">
      <c r="A43" s="709" t="s">
        <v>163</v>
      </c>
      <c r="B43" s="710" t="s">
        <v>164</v>
      </c>
      <c r="C43" s="710"/>
      <c r="D43" s="710"/>
      <c r="E43" s="710"/>
      <c r="F43" s="710"/>
      <c r="G43" s="710"/>
      <c r="H43" s="710"/>
      <c r="I43" s="710"/>
      <c r="J43" s="710"/>
      <c r="K43" s="710"/>
      <c r="L43" s="710" t="s">
        <v>165</v>
      </c>
      <c r="M43" s="711"/>
      <c r="N43" s="635"/>
      <c r="O43" s="737"/>
      <c r="P43" s="737"/>
      <c r="Q43" s="737"/>
      <c r="R43" s="737"/>
      <c r="S43" s="737"/>
      <c r="T43" s="738"/>
    </row>
    <row r="44" spans="1:20" ht="13" thickBot="1" x14ac:dyDescent="0.3">
      <c r="A44" s="686" t="s">
        <v>166</v>
      </c>
      <c r="B44" s="685" t="s">
        <v>167</v>
      </c>
      <c r="C44" s="685"/>
      <c r="D44" s="685"/>
      <c r="E44" s="685"/>
      <c r="F44" s="685"/>
      <c r="G44" s="685"/>
      <c r="H44" s="685"/>
      <c r="I44" s="685"/>
      <c r="J44" s="685"/>
      <c r="K44" s="685"/>
      <c r="L44" s="685" t="s">
        <v>162</v>
      </c>
      <c r="M44" s="694"/>
      <c r="N44" s="695"/>
      <c r="O44" s="694"/>
      <c r="P44" s="695"/>
      <c r="Q44" s="727"/>
      <c r="R44" s="728"/>
      <c r="S44" s="728"/>
      <c r="T44" s="729"/>
    </row>
  </sheetData>
  <mergeCells count="33">
    <mergeCell ref="D40:K40"/>
    <mergeCell ref="E21:K21"/>
    <mergeCell ref="F22:K22"/>
    <mergeCell ref="F6:K6"/>
    <mergeCell ref="F8:K8"/>
    <mergeCell ref="D35:E35"/>
    <mergeCell ref="F35:G35"/>
    <mergeCell ref="H35:I35"/>
    <mergeCell ref="I28:K28"/>
    <mergeCell ref="F3:K3"/>
    <mergeCell ref="F4:K4"/>
    <mergeCell ref="F5:K5"/>
    <mergeCell ref="F7:K7"/>
    <mergeCell ref="F9:K9"/>
    <mergeCell ref="Q8:R8"/>
    <mergeCell ref="E33:K33"/>
    <mergeCell ref="M34:P34"/>
    <mergeCell ref="S8:T8"/>
    <mergeCell ref="E32:K32"/>
    <mergeCell ref="E31:K31"/>
    <mergeCell ref="E20:K20"/>
    <mergeCell ref="I26:K26"/>
    <mergeCell ref="H24:K24"/>
    <mergeCell ref="O9:P9"/>
    <mergeCell ref="O8:P8"/>
    <mergeCell ref="O15:P15"/>
    <mergeCell ref="Q15:R15"/>
    <mergeCell ref="S15:T15"/>
    <mergeCell ref="M36:O36"/>
    <mergeCell ref="M37:O37"/>
    <mergeCell ref="M39:O39"/>
    <mergeCell ref="L35:O35"/>
    <mergeCell ref="J35:K35"/>
  </mergeCells>
  <pageMargins left="0.314" right="0.314" top="0.11799999999999999" bottom="0.27500000000000002" header="0.157" footer="0.11799999999999999"/>
  <pageSetup scale="92" firstPageNumber="3" orientation="landscape"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38"/>
  <sheetViews>
    <sheetView zoomScale="120" zoomScaleNormal="110" zoomScaleSheetLayoutView="120" workbookViewId="0">
      <selection activeCell="A5" sqref="A5:B16"/>
    </sheetView>
  </sheetViews>
  <sheetFormatPr defaultColWidth="8.81640625" defaultRowHeight="12.5" x14ac:dyDescent="0.25"/>
  <cols>
    <col min="1" max="1" width="4.1796875" style="10" bestFit="1" customWidth="1"/>
    <col min="2" max="2" width="20.7265625" style="10" customWidth="1"/>
    <col min="3" max="3" width="9.81640625" style="10" customWidth="1"/>
    <col min="4" max="4" width="9.7265625" style="10" customWidth="1"/>
    <col min="5" max="5" width="7.453125" style="10" customWidth="1"/>
    <col min="6" max="6" width="17.1796875" style="10" customWidth="1"/>
    <col min="7" max="7" width="17" style="10" customWidth="1"/>
    <col min="8" max="8" width="12.453125" style="10" customWidth="1"/>
    <col min="9" max="9" width="9.7265625" style="10" customWidth="1"/>
    <col min="10" max="10" width="6.7265625" style="10" customWidth="1"/>
    <col min="11" max="11" width="10.81640625" style="10" customWidth="1"/>
    <col min="12" max="12" width="9.7265625" style="10" customWidth="1"/>
    <col min="13" max="13" width="6.81640625" style="10" customWidth="1"/>
    <col min="14" max="14" width="17.7265625" style="10" customWidth="1"/>
  </cols>
  <sheetData>
    <row r="1" spans="1:14" ht="13" x14ac:dyDescent="0.3">
      <c r="A1" s="849" t="s">
        <v>2094</v>
      </c>
    </row>
    <row r="2" spans="1:14" ht="12.75" customHeight="1" x14ac:dyDescent="0.3">
      <c r="A2" s="849" t="s">
        <v>2226</v>
      </c>
      <c r="E2" s="1062" t="s">
        <v>2227</v>
      </c>
      <c r="F2" s="1062"/>
      <c r="G2" s="1062"/>
    </row>
    <row r="3" spans="1:14" ht="13" x14ac:dyDescent="0.3">
      <c r="A3" s="798"/>
    </row>
    <row r="4" spans="1:14" x14ac:dyDescent="0.25">
      <c r="A4" s="3609" t="s">
        <v>2228</v>
      </c>
      <c r="B4" s="3609"/>
      <c r="C4" s="2530" t="s">
        <v>2229</v>
      </c>
      <c r="D4" s="3607" t="s">
        <v>2230</v>
      </c>
      <c r="E4" s="3609"/>
      <c r="F4" s="852" t="s">
        <v>2231</v>
      </c>
      <c r="G4" s="2530" t="s">
        <v>2232</v>
      </c>
      <c r="H4" s="1853" t="s">
        <v>2233</v>
      </c>
      <c r="I4" s="3609" t="s">
        <v>2234</v>
      </c>
      <c r="J4" s="3609"/>
      <c r="K4" s="2530" t="s">
        <v>2235</v>
      </c>
      <c r="L4" s="3609" t="s">
        <v>2236</v>
      </c>
      <c r="M4" s="3609"/>
      <c r="N4" s="3609"/>
    </row>
    <row r="5" spans="1:14" ht="12.75" customHeight="1" x14ac:dyDescent="0.25">
      <c r="A5" s="3644" t="s">
        <v>2237</v>
      </c>
      <c r="B5" s="3644"/>
      <c r="C5" s="3220" t="s">
        <v>2238</v>
      </c>
      <c r="D5" s="3645" t="str">
        <f>CONCATENATE("Pouvez-vous rappeler la quantité totale de [INTRANT] utilisée durant la campagne ",Variables!C4, " ?
1=Gramme
2=Kilogramme
3=Tonne 
4=Litre
5=Charretée")</f>
        <v>Pouvez-vous rappeler la quantité totale de [INTRANT] utilisée durant la campagne 2021/2022 ?
1=Gramme
2=Kilogramme
3=Tonne 
4=Litre
5=Charretée</v>
      </c>
      <c r="E5" s="3646"/>
      <c r="F5" s="3223" t="s">
        <v>2239</v>
      </c>
      <c r="G5" s="3643" t="s">
        <v>2240</v>
      </c>
      <c r="H5" s="3651" t="s">
        <v>2241</v>
      </c>
      <c r="I5" s="3652" t="s">
        <v>2242</v>
      </c>
      <c r="J5" s="3652"/>
      <c r="K5" s="3643" t="s">
        <v>2243</v>
      </c>
      <c r="L5" s="3643" t="s">
        <v>2244</v>
      </c>
      <c r="M5" s="3643"/>
      <c r="N5" s="3643"/>
    </row>
    <row r="6" spans="1:14" ht="12.75" customHeight="1" x14ac:dyDescent="0.25">
      <c r="A6" s="3644"/>
      <c r="B6" s="3644"/>
      <c r="C6" s="2782"/>
      <c r="D6" s="3647"/>
      <c r="E6" s="3648"/>
      <c r="F6" s="2826"/>
      <c r="G6" s="3643"/>
      <c r="H6" s="3651"/>
      <c r="I6" s="3652"/>
      <c r="J6" s="3652"/>
      <c r="K6" s="3643"/>
      <c r="L6" s="3643"/>
      <c r="M6" s="3643"/>
      <c r="N6" s="3643"/>
    </row>
    <row r="7" spans="1:14" ht="12.75" customHeight="1" x14ac:dyDescent="0.25">
      <c r="A7" s="3644"/>
      <c r="B7" s="3644"/>
      <c r="C7" s="2782"/>
      <c r="D7" s="3647"/>
      <c r="E7" s="3648"/>
      <c r="F7" s="2826"/>
      <c r="G7" s="3643"/>
      <c r="H7" s="3651"/>
      <c r="I7" s="3652"/>
      <c r="J7" s="3652"/>
      <c r="K7" s="3643"/>
      <c r="L7" s="3643"/>
      <c r="M7" s="3643"/>
      <c r="N7" s="3643"/>
    </row>
    <row r="8" spans="1:14" ht="12.75" customHeight="1" x14ac:dyDescent="0.25">
      <c r="A8" s="3644"/>
      <c r="B8" s="3644"/>
      <c r="C8" s="2782"/>
      <c r="D8" s="3647"/>
      <c r="E8" s="3648"/>
      <c r="F8" s="2826"/>
      <c r="G8" s="3643"/>
      <c r="H8" s="3651"/>
      <c r="I8" s="3652"/>
      <c r="J8" s="3652"/>
      <c r="K8" s="3643"/>
      <c r="L8" s="3643"/>
      <c r="M8" s="3643"/>
      <c r="N8" s="3643"/>
    </row>
    <row r="9" spans="1:14" ht="12.75" customHeight="1" x14ac:dyDescent="0.25">
      <c r="A9" s="3644"/>
      <c r="B9" s="3644"/>
      <c r="C9" s="2782"/>
      <c r="D9" s="3647"/>
      <c r="E9" s="3648"/>
      <c r="F9" s="2826"/>
      <c r="G9" s="3643"/>
      <c r="H9" s="3651"/>
      <c r="I9" s="3652"/>
      <c r="J9" s="3652"/>
      <c r="K9" s="3643"/>
      <c r="L9" s="3643"/>
      <c r="M9" s="3643"/>
      <c r="N9" s="3643"/>
    </row>
    <row r="10" spans="1:14" ht="12.75" customHeight="1" x14ac:dyDescent="0.25">
      <c r="A10" s="3644"/>
      <c r="B10" s="3644"/>
      <c r="C10" s="2782"/>
      <c r="D10" s="3647"/>
      <c r="E10" s="3648"/>
      <c r="F10" s="2826"/>
      <c r="G10" s="3643"/>
      <c r="H10" s="3651"/>
      <c r="I10" s="3652"/>
      <c r="J10" s="3652"/>
      <c r="K10" s="3643"/>
      <c r="L10" s="3643"/>
      <c r="M10" s="3643"/>
      <c r="N10" s="3643"/>
    </row>
    <row r="11" spans="1:14" ht="12.75" customHeight="1" x14ac:dyDescent="0.25">
      <c r="A11" s="3644"/>
      <c r="B11" s="3644"/>
      <c r="C11" s="2782"/>
      <c r="D11" s="3647"/>
      <c r="E11" s="3648"/>
      <c r="F11" s="2826"/>
      <c r="G11" s="3643"/>
      <c r="H11" s="3651"/>
      <c r="I11" s="3652"/>
      <c r="J11" s="3652"/>
      <c r="K11" s="3643"/>
      <c r="L11" s="3643"/>
      <c r="M11" s="3643"/>
      <c r="N11" s="3643"/>
    </row>
    <row r="12" spans="1:14" ht="12.75" customHeight="1" x14ac:dyDescent="0.25">
      <c r="A12" s="3644"/>
      <c r="B12" s="3644"/>
      <c r="C12" s="2782"/>
      <c r="D12" s="3647"/>
      <c r="E12" s="3648"/>
      <c r="F12" s="2826"/>
      <c r="G12" s="3643"/>
      <c r="H12" s="3651"/>
      <c r="I12" s="3652"/>
      <c r="J12" s="3652"/>
      <c r="K12" s="3643"/>
      <c r="L12" s="3643"/>
      <c r="M12" s="3643"/>
      <c r="N12" s="3643"/>
    </row>
    <row r="13" spans="1:14" ht="12.75" customHeight="1" x14ac:dyDescent="0.25">
      <c r="A13" s="3644"/>
      <c r="B13" s="3644"/>
      <c r="C13" s="2782"/>
      <c r="D13" s="3647"/>
      <c r="E13" s="3648"/>
      <c r="F13" s="2826"/>
      <c r="G13" s="3643"/>
      <c r="H13" s="3651"/>
      <c r="I13" s="3652"/>
      <c r="J13" s="3652"/>
      <c r="K13" s="3643"/>
      <c r="L13" s="3643"/>
      <c r="M13" s="3643"/>
      <c r="N13" s="3643"/>
    </row>
    <row r="14" spans="1:14" ht="12.75" customHeight="1" x14ac:dyDescent="0.25">
      <c r="A14" s="3644"/>
      <c r="B14" s="3644"/>
      <c r="C14" s="2782"/>
      <c r="D14" s="3647"/>
      <c r="E14" s="3648"/>
      <c r="F14" s="2826"/>
      <c r="G14" s="3643"/>
      <c r="H14" s="3651"/>
      <c r="I14" s="3652"/>
      <c r="J14" s="3652"/>
      <c r="K14" s="3643"/>
      <c r="L14" s="3643"/>
      <c r="M14" s="3643"/>
      <c r="N14" s="3643"/>
    </row>
    <row r="15" spans="1:14" ht="12.75" customHeight="1" x14ac:dyDescent="0.25">
      <c r="A15" s="3644"/>
      <c r="B15" s="3644"/>
      <c r="C15" s="2782"/>
      <c r="D15" s="3647"/>
      <c r="E15" s="3648"/>
      <c r="F15" s="2826"/>
      <c r="G15" s="3643"/>
      <c r="H15" s="3651"/>
      <c r="I15" s="3652"/>
      <c r="J15" s="3652"/>
      <c r="K15" s="3643"/>
      <c r="L15" s="3643"/>
      <c r="M15" s="3643"/>
      <c r="N15" s="3643"/>
    </row>
    <row r="16" spans="1:14" ht="26.25" customHeight="1" x14ac:dyDescent="0.25">
      <c r="A16" s="3644"/>
      <c r="B16" s="3644"/>
      <c r="C16" s="2843"/>
      <c r="D16" s="3649"/>
      <c r="E16" s="3650"/>
      <c r="F16" s="2829"/>
      <c r="G16" s="3643"/>
      <c r="H16" s="3651"/>
      <c r="I16" s="3652"/>
      <c r="J16" s="3652"/>
      <c r="K16" s="3643"/>
      <c r="L16" s="3643"/>
      <c r="M16" s="3643"/>
      <c r="N16" s="3643"/>
    </row>
    <row r="17" spans="1:14" ht="15" customHeight="1" x14ac:dyDescent="0.25">
      <c r="A17" s="2541"/>
      <c r="B17" s="2541"/>
      <c r="C17" s="2541"/>
      <c r="D17" s="876" t="s">
        <v>2245</v>
      </c>
      <c r="E17" s="757" t="s">
        <v>1021</v>
      </c>
      <c r="F17" s="757"/>
      <c r="G17" s="757"/>
      <c r="H17" s="1854"/>
      <c r="I17" s="757" t="s">
        <v>2245</v>
      </c>
      <c r="J17" s="2476" t="s">
        <v>1021</v>
      </c>
      <c r="K17" s="757" t="s">
        <v>1536</v>
      </c>
      <c r="L17" s="757" t="s">
        <v>2245</v>
      </c>
      <c r="M17" s="2476" t="s">
        <v>1021</v>
      </c>
      <c r="N17" s="877" t="s">
        <v>947</v>
      </c>
    </row>
    <row r="18" spans="1:14" x14ac:dyDescent="0.25">
      <c r="A18" s="878" t="s">
        <v>1936</v>
      </c>
      <c r="B18" s="878" t="s">
        <v>2246</v>
      </c>
      <c r="C18" s="757" t="s">
        <v>346</v>
      </c>
      <c r="D18" s="876"/>
      <c r="E18" s="757" t="s">
        <v>346</v>
      </c>
      <c r="F18" s="2475" t="s">
        <v>346</v>
      </c>
      <c r="G18" s="757" t="s">
        <v>346</v>
      </c>
      <c r="H18" s="1854" t="s">
        <v>346</v>
      </c>
      <c r="I18" s="757" t="s">
        <v>141</v>
      </c>
      <c r="J18" s="2476" t="s">
        <v>346</v>
      </c>
      <c r="K18" s="757" t="s">
        <v>346</v>
      </c>
      <c r="L18" s="757" t="s">
        <v>141</v>
      </c>
      <c r="M18" s="2476" t="s">
        <v>346</v>
      </c>
      <c r="N18" s="757" t="s">
        <v>2247</v>
      </c>
    </row>
    <row r="19" spans="1:14" ht="27" customHeight="1" x14ac:dyDescent="0.25">
      <c r="A19" s="2534">
        <v>1</v>
      </c>
      <c r="B19" s="873" t="s">
        <v>2248</v>
      </c>
      <c r="C19" s="2534"/>
      <c r="D19" s="536"/>
      <c r="E19" s="142"/>
      <c r="F19" s="879"/>
      <c r="G19" s="142"/>
      <c r="H19" s="142"/>
      <c r="I19" s="142"/>
      <c r="J19" s="535"/>
      <c r="K19" s="142"/>
      <c r="L19" s="142"/>
      <c r="M19" s="535"/>
      <c r="N19" s="880"/>
    </row>
    <row r="20" spans="1:14" ht="27" customHeight="1" x14ac:dyDescent="0.25">
      <c r="A20" s="2534">
        <f>A19+1</f>
        <v>2</v>
      </c>
      <c r="B20" s="873" t="s">
        <v>2249</v>
      </c>
      <c r="C20" s="2534"/>
      <c r="D20" s="881"/>
      <c r="E20" s="871"/>
      <c r="F20" s="882"/>
      <c r="G20" s="871"/>
      <c r="H20" s="871"/>
      <c r="I20" s="871"/>
      <c r="J20" s="883"/>
      <c r="K20" s="871"/>
      <c r="L20" s="871"/>
      <c r="M20" s="883"/>
      <c r="N20" s="880"/>
    </row>
    <row r="21" spans="1:14" ht="27" customHeight="1" x14ac:dyDescent="0.25">
      <c r="A21" s="2534">
        <f t="shared" ref="A21:A28" si="0">A20+1</f>
        <v>3</v>
      </c>
      <c r="B21" s="873" t="s">
        <v>2250</v>
      </c>
      <c r="C21" s="2534"/>
      <c r="D21" s="881"/>
      <c r="E21" s="871"/>
      <c r="F21" s="882"/>
      <c r="G21" s="871"/>
      <c r="H21" s="871"/>
      <c r="I21" s="871"/>
      <c r="J21" s="883"/>
      <c r="K21" s="871"/>
      <c r="L21" s="871"/>
      <c r="M21" s="883"/>
      <c r="N21" s="880"/>
    </row>
    <row r="22" spans="1:14" ht="27" customHeight="1" x14ac:dyDescent="0.25">
      <c r="A22" s="2534">
        <f t="shared" si="0"/>
        <v>4</v>
      </c>
      <c r="B22" s="873" t="s">
        <v>2251</v>
      </c>
      <c r="C22" s="2534"/>
      <c r="D22" s="881"/>
      <c r="E22" s="871"/>
      <c r="F22" s="882"/>
      <c r="G22" s="871"/>
      <c r="H22" s="871"/>
      <c r="I22" s="871"/>
      <c r="J22" s="883"/>
      <c r="K22" s="871"/>
      <c r="L22" s="871"/>
      <c r="M22" s="883"/>
      <c r="N22" s="880"/>
    </row>
    <row r="23" spans="1:14" ht="27" customHeight="1" x14ac:dyDescent="0.25">
      <c r="A23" s="2534">
        <f t="shared" si="0"/>
        <v>5</v>
      </c>
      <c r="B23" s="873" t="s">
        <v>2252</v>
      </c>
      <c r="C23" s="2534"/>
      <c r="D23" s="881"/>
      <c r="E23" s="871"/>
      <c r="F23" s="882"/>
      <c r="G23" s="871"/>
      <c r="H23" s="871"/>
      <c r="I23" s="871"/>
      <c r="J23" s="883"/>
      <c r="K23" s="871"/>
      <c r="L23" s="871"/>
      <c r="M23" s="883"/>
      <c r="N23" s="880"/>
    </row>
    <row r="24" spans="1:14" ht="27" customHeight="1" x14ac:dyDescent="0.25">
      <c r="A24" s="2534">
        <f t="shared" si="0"/>
        <v>6</v>
      </c>
      <c r="B24" s="873" t="s">
        <v>2253</v>
      </c>
      <c r="C24" s="2534"/>
      <c r="D24" s="881"/>
      <c r="E24" s="871"/>
      <c r="F24" s="882"/>
      <c r="G24" s="871"/>
      <c r="H24" s="871"/>
      <c r="I24" s="871"/>
      <c r="J24" s="883"/>
      <c r="K24" s="871"/>
      <c r="L24" s="871"/>
      <c r="M24" s="883"/>
      <c r="N24" s="880"/>
    </row>
    <row r="25" spans="1:14" ht="27" customHeight="1" x14ac:dyDescent="0.25">
      <c r="A25" s="2534">
        <f t="shared" si="0"/>
        <v>7</v>
      </c>
      <c r="B25" s="873" t="s">
        <v>2254</v>
      </c>
      <c r="C25" s="2534"/>
      <c r="D25" s="881"/>
      <c r="E25" s="871"/>
      <c r="F25" s="882"/>
      <c r="G25" s="871"/>
      <c r="H25" s="871"/>
      <c r="I25" s="871"/>
      <c r="J25" s="883"/>
      <c r="K25" s="871"/>
      <c r="L25" s="871"/>
      <c r="M25" s="883"/>
      <c r="N25" s="880"/>
    </row>
    <row r="26" spans="1:14" ht="27" customHeight="1" x14ac:dyDescent="0.25">
      <c r="A26" s="2534">
        <f t="shared" si="0"/>
        <v>8</v>
      </c>
      <c r="B26" s="873" t="s">
        <v>2255</v>
      </c>
      <c r="C26" s="2534"/>
      <c r="D26" s="881"/>
      <c r="E26" s="871"/>
      <c r="F26" s="882"/>
      <c r="G26" s="871"/>
      <c r="H26" s="871"/>
      <c r="I26" s="871"/>
      <c r="J26" s="883"/>
      <c r="K26" s="871"/>
      <c r="L26" s="871"/>
      <c r="M26" s="883"/>
      <c r="N26" s="880"/>
    </row>
    <row r="27" spans="1:14" ht="27" customHeight="1" x14ac:dyDescent="0.25">
      <c r="A27" s="2534">
        <f t="shared" si="0"/>
        <v>9</v>
      </c>
      <c r="B27" s="880" t="s">
        <v>2256</v>
      </c>
      <c r="C27" s="884"/>
      <c r="D27" s="535"/>
      <c r="E27" s="142"/>
      <c r="F27" s="142"/>
      <c r="G27" s="142"/>
      <c r="H27" s="142"/>
      <c r="I27" s="142"/>
      <c r="J27" s="142"/>
      <c r="K27" s="142"/>
      <c r="L27" s="142"/>
      <c r="M27" s="142"/>
      <c r="N27" s="142"/>
    </row>
    <row r="28" spans="1:14" ht="27" customHeight="1" x14ac:dyDescent="0.25">
      <c r="A28" s="2534">
        <f t="shared" si="0"/>
        <v>10</v>
      </c>
      <c r="B28" s="880" t="s">
        <v>2257</v>
      </c>
      <c r="C28" s="884"/>
      <c r="D28" s="535"/>
      <c r="E28" s="142"/>
      <c r="F28" s="142"/>
      <c r="G28" s="142"/>
      <c r="H28" s="142"/>
      <c r="I28" s="142"/>
      <c r="J28" s="142"/>
      <c r="K28" s="142"/>
      <c r="L28" s="142"/>
      <c r="M28" s="142"/>
      <c r="N28" s="142"/>
    </row>
    <row r="29" spans="1:14" ht="27" customHeight="1" x14ac:dyDescent="0.25">
      <c r="A29" s="2534">
        <f t="shared" ref="A29:A36" si="1">A28+1</f>
        <v>11</v>
      </c>
      <c r="B29" s="873" t="s">
        <v>2258</v>
      </c>
      <c r="C29" s="2534"/>
      <c r="D29" s="881"/>
      <c r="E29" s="871"/>
      <c r="F29" s="882"/>
      <c r="G29" s="871"/>
      <c r="H29" s="871"/>
      <c r="I29" s="871"/>
      <c r="J29" s="883"/>
      <c r="K29" s="871"/>
      <c r="L29" s="871"/>
      <c r="M29" s="883"/>
      <c r="N29" s="880"/>
    </row>
    <row r="30" spans="1:14" ht="27" customHeight="1" x14ac:dyDescent="0.25">
      <c r="A30" s="2534">
        <f t="shared" si="1"/>
        <v>12</v>
      </c>
      <c r="B30" s="873" t="s">
        <v>2259</v>
      </c>
      <c r="C30" s="2534"/>
      <c r="D30" s="881"/>
      <c r="E30" s="871"/>
      <c r="F30" s="882"/>
      <c r="G30" s="871"/>
      <c r="H30" s="871"/>
      <c r="I30" s="871"/>
      <c r="J30" s="883"/>
      <c r="K30" s="871"/>
      <c r="L30" s="871"/>
      <c r="M30" s="883"/>
      <c r="N30" s="880"/>
    </row>
    <row r="31" spans="1:14" ht="27" customHeight="1" x14ac:dyDescent="0.25">
      <c r="A31" s="2534">
        <f t="shared" si="1"/>
        <v>13</v>
      </c>
      <c r="B31" s="873" t="s">
        <v>2260</v>
      </c>
      <c r="C31" s="2534"/>
      <c r="D31" s="881"/>
      <c r="E31" s="871"/>
      <c r="F31" s="882"/>
      <c r="G31" s="871"/>
      <c r="H31" s="871"/>
      <c r="I31" s="871"/>
      <c r="J31" s="883"/>
      <c r="K31" s="871"/>
      <c r="L31" s="871"/>
      <c r="M31" s="883"/>
      <c r="N31" s="880"/>
    </row>
    <row r="32" spans="1:14" ht="27" customHeight="1" x14ac:dyDescent="0.25">
      <c r="A32" s="2534">
        <f t="shared" si="1"/>
        <v>14</v>
      </c>
      <c r="B32" s="880" t="s">
        <v>2261</v>
      </c>
      <c r="C32" s="884"/>
      <c r="D32" s="535"/>
      <c r="E32" s="142"/>
      <c r="F32" s="142"/>
      <c r="G32" s="142"/>
      <c r="H32" s="142"/>
      <c r="I32" s="142"/>
      <c r="J32" s="142"/>
      <c r="K32" s="142"/>
      <c r="L32" s="142"/>
      <c r="M32" s="142"/>
      <c r="N32" s="142"/>
    </row>
    <row r="33" spans="1:14" ht="27" customHeight="1" x14ac:dyDescent="0.25">
      <c r="A33" s="2534">
        <f t="shared" si="1"/>
        <v>15</v>
      </c>
      <c r="B33" s="880" t="s">
        <v>2262</v>
      </c>
      <c r="C33" s="884"/>
      <c r="D33" s="535"/>
      <c r="E33" s="142"/>
      <c r="F33" s="142"/>
      <c r="G33" s="142"/>
      <c r="H33" s="142"/>
      <c r="I33" s="142"/>
      <c r="J33" s="142"/>
      <c r="K33" s="142"/>
      <c r="L33" s="142"/>
      <c r="M33" s="142"/>
      <c r="N33" s="142"/>
    </row>
    <row r="34" spans="1:14" ht="27" customHeight="1" x14ac:dyDescent="0.25">
      <c r="A34" s="2534">
        <f t="shared" si="1"/>
        <v>16</v>
      </c>
      <c r="B34" s="880" t="s">
        <v>2263</v>
      </c>
      <c r="C34" s="884"/>
      <c r="D34" s="535"/>
      <c r="E34" s="142"/>
      <c r="F34" s="142"/>
      <c r="G34" s="142"/>
      <c r="H34" s="142"/>
      <c r="I34" s="142"/>
      <c r="J34" s="142"/>
      <c r="K34" s="142"/>
      <c r="L34" s="142"/>
      <c r="M34" s="142"/>
      <c r="N34" s="142"/>
    </row>
    <row r="35" spans="1:14" ht="27" customHeight="1" x14ac:dyDescent="0.25">
      <c r="A35" s="2534">
        <f t="shared" si="1"/>
        <v>17</v>
      </c>
      <c r="B35" s="880" t="s">
        <v>2264</v>
      </c>
      <c r="C35" s="884"/>
      <c r="D35" s="535"/>
      <c r="E35" s="142"/>
      <c r="F35" s="142"/>
      <c r="G35" s="142"/>
      <c r="H35" s="142"/>
      <c r="I35" s="142"/>
      <c r="J35" s="142"/>
      <c r="K35" s="142"/>
      <c r="L35" s="142"/>
      <c r="M35" s="142"/>
      <c r="N35" s="142"/>
    </row>
    <row r="36" spans="1:14" ht="27" customHeight="1" x14ac:dyDescent="0.25">
      <c r="A36" s="2534">
        <f t="shared" si="1"/>
        <v>18</v>
      </c>
      <c r="B36" s="880" t="s">
        <v>2265</v>
      </c>
      <c r="C36" s="884"/>
      <c r="D36" s="535"/>
      <c r="E36" s="142"/>
      <c r="F36" s="142"/>
      <c r="G36" s="142"/>
      <c r="H36" s="142"/>
      <c r="I36" s="142"/>
      <c r="J36" s="142"/>
      <c r="K36" s="142"/>
      <c r="L36" s="142"/>
      <c r="M36" s="142"/>
      <c r="N36" s="142"/>
    </row>
    <row r="37" spans="1:14" ht="27" customHeight="1" x14ac:dyDescent="0.25">
      <c r="A37" s="2534">
        <v>19</v>
      </c>
      <c r="B37" s="880" t="s">
        <v>2266</v>
      </c>
      <c r="C37" s="884"/>
      <c r="D37" s="535"/>
      <c r="E37" s="142"/>
      <c r="F37" s="142"/>
      <c r="G37" s="142"/>
      <c r="H37" s="142"/>
      <c r="I37" s="142"/>
      <c r="J37" s="142"/>
      <c r="K37" s="142"/>
      <c r="L37" s="142"/>
      <c r="M37" s="142"/>
      <c r="N37" s="142"/>
    </row>
    <row r="38" spans="1:14" ht="27" customHeight="1" x14ac:dyDescent="0.25">
      <c r="A38" s="2534">
        <v>20</v>
      </c>
      <c r="B38" s="884" t="s">
        <v>2267</v>
      </c>
      <c r="C38" s="884"/>
      <c r="D38" s="535"/>
      <c r="E38" s="142"/>
      <c r="F38" s="142"/>
      <c r="G38" s="142"/>
      <c r="H38" s="142"/>
      <c r="I38" s="142"/>
      <c r="J38" s="142"/>
      <c r="K38" s="142"/>
      <c r="L38" s="142"/>
      <c r="M38" s="142"/>
      <c r="N38" s="142"/>
    </row>
  </sheetData>
  <mergeCells count="13">
    <mergeCell ref="L5:N16"/>
    <mergeCell ref="A4:B4"/>
    <mergeCell ref="D4:E4"/>
    <mergeCell ref="I4:J4"/>
    <mergeCell ref="L4:N4"/>
    <mergeCell ref="A5:B16"/>
    <mergeCell ref="C5:C16"/>
    <mergeCell ref="D5:E16"/>
    <mergeCell ref="F5:F16"/>
    <mergeCell ref="G5:G16"/>
    <mergeCell ref="H5:H16"/>
    <mergeCell ref="I5:J16"/>
    <mergeCell ref="K5:K16"/>
  </mergeCells>
  <pageMargins left="0.314" right="0.314" top="0.11799999999999999" bottom="0.27500000000000002" header="0.157" footer="0.11799999999999999"/>
  <pageSetup scale="73" firstPageNumber="77" orientation="landscape" r:id="rId1"/>
  <headerFooter>
    <oddFooter>&amp;C&amp;P</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34"/>
  <sheetViews>
    <sheetView topLeftCell="K1" zoomScale="120" zoomScaleNormal="130" zoomScaleSheetLayoutView="120" workbookViewId="0">
      <selection activeCell="N5" sqref="N5:N17"/>
    </sheetView>
  </sheetViews>
  <sheetFormatPr defaultColWidth="8.81640625" defaultRowHeight="12.5" x14ac:dyDescent="0.25"/>
  <cols>
    <col min="1" max="1" width="4.1796875" customWidth="1"/>
    <col min="2" max="2" width="32.1796875" customWidth="1"/>
    <col min="3" max="4" width="6.1796875" customWidth="1"/>
    <col min="5" max="5" width="6.453125" style="885" customWidth="1"/>
    <col min="6" max="6" width="18.81640625" style="885" customWidth="1"/>
    <col min="7" max="7" width="7.1796875" style="975" bestFit="1" customWidth="1"/>
    <col min="8" max="8" width="10.453125" style="885" customWidth="1"/>
    <col min="9" max="9" width="10.1796875" style="885" bestFit="1" customWidth="1"/>
    <col min="10" max="10" width="9.453125" style="885" customWidth="1"/>
    <col min="11" max="11" width="6.453125" style="885" bestFit="1" customWidth="1"/>
    <col min="12" max="12" width="5.81640625" style="885" customWidth="1"/>
    <col min="13" max="13" width="14.453125" style="886" customWidth="1"/>
    <col min="14" max="14" width="10.1796875" style="10" bestFit="1" customWidth="1"/>
    <col min="15" max="15" width="10.1796875" style="10" customWidth="1"/>
    <col min="16" max="16" width="16.7265625" style="10" customWidth="1"/>
    <col min="17" max="17" width="10.1796875" style="10" customWidth="1"/>
    <col min="18" max="18" width="8.1796875" style="823" bestFit="1" customWidth="1"/>
    <col min="19" max="19" width="5.7265625" style="823" bestFit="1" customWidth="1"/>
    <col min="20" max="20" width="6.81640625" style="823" customWidth="1"/>
    <col min="21" max="21" width="7.1796875" style="823" customWidth="1"/>
  </cols>
  <sheetData>
    <row r="1" spans="1:21" ht="13" x14ac:dyDescent="0.3">
      <c r="A1" s="798"/>
      <c r="B1" s="103" t="s">
        <v>2268</v>
      </c>
      <c r="C1" s="849"/>
      <c r="G1" s="1487" t="s">
        <v>2094</v>
      </c>
      <c r="H1" s="1487"/>
      <c r="R1" s="849"/>
    </row>
    <row r="2" spans="1:21" ht="13" x14ac:dyDescent="0.3">
      <c r="A2" s="798"/>
      <c r="C2" s="849"/>
      <c r="G2" s="1487" t="s">
        <v>2269</v>
      </c>
      <c r="H2" s="1487"/>
      <c r="M2" s="887"/>
      <c r="N2" s="798"/>
      <c r="O2" s="798"/>
      <c r="P2" s="798"/>
      <c r="Q2" s="798"/>
      <c r="R2" s="849"/>
    </row>
    <row r="3" spans="1:21" x14ac:dyDescent="0.25">
      <c r="F3" s="888"/>
      <c r="H3" s="888"/>
      <c r="I3" s="888"/>
      <c r="J3" s="888"/>
      <c r="K3" s="888"/>
      <c r="L3" s="888"/>
    </row>
    <row r="4" spans="1:21" ht="13.5" customHeight="1" x14ac:dyDescent="0.25">
      <c r="A4" s="3657" t="s">
        <v>2270</v>
      </c>
      <c r="B4" s="851" t="str">
        <f t="shared" ref="B4:K4" si="0">CONCATENATE("(16C.",TEXT(B34,"00"),")")</f>
        <v>(16C.01)</v>
      </c>
      <c r="C4" s="851" t="str">
        <f t="shared" si="0"/>
        <v>(16C.02)</v>
      </c>
      <c r="D4" s="851" t="str">
        <f t="shared" si="0"/>
        <v>(16C.03)</v>
      </c>
      <c r="E4" s="851" t="str">
        <f t="shared" si="0"/>
        <v>(16C.04)</v>
      </c>
      <c r="F4" s="851" t="str">
        <f t="shared" si="0"/>
        <v>(16C.05)</v>
      </c>
      <c r="G4" s="851" t="str">
        <f t="shared" si="0"/>
        <v>(16C.06)</v>
      </c>
      <c r="H4" s="851" t="str">
        <f t="shared" si="0"/>
        <v>(16C.07)</v>
      </c>
      <c r="I4" s="851" t="str">
        <f t="shared" si="0"/>
        <v>(16C.08)</v>
      </c>
      <c r="J4" s="851" t="str">
        <f t="shared" si="0"/>
        <v>(16C.09)</v>
      </c>
      <c r="K4" s="3661" t="str">
        <f t="shared" si="0"/>
        <v>(16C.10)</v>
      </c>
      <c r="L4" s="3663"/>
      <c r="M4" s="851" t="str">
        <f t="shared" ref="M4:R4" si="1">CONCATENATE("(16C.",TEXT(M34,"00"),")")</f>
        <v>(16C.11)</v>
      </c>
      <c r="N4" s="851" t="str">
        <f t="shared" si="1"/>
        <v>(16C.12)</v>
      </c>
      <c r="O4" s="851" t="str">
        <f t="shared" si="1"/>
        <v>(16C.13)</v>
      </c>
      <c r="P4" s="851" t="str">
        <f t="shared" si="1"/>
        <v>(16C.14)</v>
      </c>
      <c r="Q4" s="851" t="str">
        <f t="shared" si="1"/>
        <v>(16C.15)</v>
      </c>
      <c r="R4" s="3661" t="str">
        <f t="shared" si="1"/>
        <v>(16C.16)</v>
      </c>
      <c r="S4" s="3662"/>
      <c r="T4" s="3662"/>
      <c r="U4" s="3663"/>
    </row>
    <row r="5" spans="1:21" ht="12.75" customHeight="1" x14ac:dyDescent="0.25">
      <c r="A5" s="3658"/>
      <c r="B5" s="855"/>
      <c r="C5" s="3220" t="s">
        <v>2271</v>
      </c>
      <c r="D5" s="3220" t="s">
        <v>2272</v>
      </c>
      <c r="E5" s="3664" t="s">
        <v>2273</v>
      </c>
      <c r="F5" s="3653" t="s">
        <v>2274</v>
      </c>
      <c r="G5" s="3664" t="s">
        <v>2275</v>
      </c>
      <c r="H5" s="3653" t="str">
        <f>CONCATENATE("Quel système de culture avez-vous utilisé?
1 = Pure  ►",J4,"
2 = Association de cultures")</f>
        <v>Quel système de culture avez-vous utilisé?
1 = Pure  ►(16C.09)
2 = Association de cultures</v>
      </c>
      <c r="I5" s="3653" t="s">
        <v>2276</v>
      </c>
      <c r="J5" s="3653" t="s">
        <v>2277</v>
      </c>
      <c r="K5" s="3667" t="s">
        <v>2278</v>
      </c>
      <c r="L5" s="3668"/>
      <c r="M5" s="3656" t="str">
        <f>CONCATENATE("Avez vous fini la récolte de cette culture?
1 = Oui ►",R4,"
2 = Non")</f>
        <v>Avez vous fini la récolte de cette culture?
1 = Oui ►(16C.16)
2 = Non</v>
      </c>
      <c r="N5" s="3220" t="str">
        <f>CONCATENATE("Quel pourcentage de la  superficie vous reste-t-il à récolter? 
Si 100% (récolte non-entamée) ► Cuture Suivante")</f>
        <v>Quel pourcentage de la  superficie vous reste-t-il à récolter? 
Si 100% (récolte non-entamée) ► Cuture Suivante</v>
      </c>
      <c r="O5" s="3220" t="str">
        <f>CONCATENATE("La surface récoltée était-elle plus petite que la surface plantée sur cette parcelle?
1 = Oui
2 = Non ►",R4 )</f>
        <v>La surface récoltée était-elle plus petite que la surface plantée sur cette parcelle?
1 = Oui
2 = Non ►(16C.16)</v>
      </c>
      <c r="P5" s="3220" t="s">
        <v>2279</v>
      </c>
      <c r="Q5" s="3220" t="s">
        <v>2280</v>
      </c>
      <c r="R5" s="3672" t="str">
        <f>CONCATENATE("Quelle est la quantité déjà récoltée pour la présente campagne ", Variables!C4, "?")</f>
        <v>Quelle est la quantité déjà récoltée pour la présente campagne 2021/2022?</v>
      </c>
      <c r="S5" s="3673"/>
      <c r="T5" s="3673"/>
      <c r="U5" s="3674"/>
    </row>
    <row r="6" spans="1:21" ht="13.5" customHeight="1" x14ac:dyDescent="0.25">
      <c r="A6" s="3658"/>
      <c r="B6" s="856" t="s">
        <v>171</v>
      </c>
      <c r="C6" s="2782"/>
      <c r="D6" s="2782"/>
      <c r="E6" s="3665"/>
      <c r="F6" s="3654"/>
      <c r="G6" s="3665"/>
      <c r="H6" s="3654"/>
      <c r="I6" s="3654"/>
      <c r="J6" s="3654"/>
      <c r="K6" s="3669"/>
      <c r="L6" s="3670"/>
      <c r="M6" s="3656"/>
      <c r="N6" s="2782"/>
      <c r="O6" s="2782"/>
      <c r="P6" s="2782"/>
      <c r="Q6" s="2782"/>
      <c r="R6" s="3269"/>
      <c r="S6" s="3675"/>
      <c r="T6" s="3675"/>
      <c r="U6" s="3676"/>
    </row>
    <row r="7" spans="1:21" ht="12.75" customHeight="1" x14ac:dyDescent="0.25">
      <c r="A7" s="3658"/>
      <c r="B7" s="857"/>
      <c r="C7" s="2782"/>
      <c r="D7" s="2782"/>
      <c r="E7" s="3665"/>
      <c r="F7" s="3654"/>
      <c r="G7" s="3665"/>
      <c r="H7" s="3654"/>
      <c r="I7" s="3654"/>
      <c r="J7" s="3654"/>
      <c r="K7" s="3669"/>
      <c r="L7" s="3670"/>
      <c r="M7" s="3656"/>
      <c r="N7" s="2782"/>
      <c r="O7" s="2782"/>
      <c r="P7" s="2782"/>
      <c r="Q7" s="2782"/>
      <c r="R7" s="3269"/>
      <c r="S7" s="3675"/>
      <c r="T7" s="3675"/>
      <c r="U7" s="3676"/>
    </row>
    <row r="8" spans="1:21" ht="12.75" customHeight="1" x14ac:dyDescent="0.25">
      <c r="A8" s="3658"/>
      <c r="B8" s="3660" t="s">
        <v>2281</v>
      </c>
      <c r="C8" s="2782"/>
      <c r="D8" s="2782"/>
      <c r="E8" s="3665"/>
      <c r="F8" s="3654"/>
      <c r="G8" s="3665"/>
      <c r="H8" s="3654"/>
      <c r="I8" s="3654"/>
      <c r="J8" s="3654"/>
      <c r="K8" s="3669"/>
      <c r="L8" s="3670"/>
      <c r="M8" s="3656"/>
      <c r="N8" s="2782"/>
      <c r="O8" s="2782"/>
      <c r="P8" s="2782"/>
      <c r="Q8" s="2782"/>
      <c r="R8" s="3269"/>
      <c r="S8" s="3675"/>
      <c r="T8" s="3675"/>
      <c r="U8" s="3676"/>
    </row>
    <row r="9" spans="1:21" ht="12.75" customHeight="1" x14ac:dyDescent="0.25">
      <c r="A9" s="3658"/>
      <c r="B9" s="3330"/>
      <c r="C9" s="2782"/>
      <c r="D9" s="2782"/>
      <c r="E9" s="3665"/>
      <c r="F9" s="3654"/>
      <c r="G9" s="3665"/>
      <c r="H9" s="3654"/>
      <c r="I9" s="3654"/>
      <c r="J9" s="3654"/>
      <c r="K9" s="3669"/>
      <c r="L9" s="3670"/>
      <c r="M9" s="3656"/>
      <c r="N9" s="2782"/>
      <c r="O9" s="2782"/>
      <c r="P9" s="2782"/>
      <c r="Q9" s="2782"/>
      <c r="R9" s="3269"/>
      <c r="S9" s="3675"/>
      <c r="T9" s="3675"/>
      <c r="U9" s="3676"/>
    </row>
    <row r="10" spans="1:21" ht="12.75" customHeight="1" x14ac:dyDescent="0.25">
      <c r="A10" s="3658"/>
      <c r="B10" s="3330"/>
      <c r="C10" s="2782"/>
      <c r="D10" s="2782"/>
      <c r="E10" s="3665"/>
      <c r="F10" s="3654"/>
      <c r="G10" s="3665"/>
      <c r="H10" s="3654"/>
      <c r="I10" s="3654"/>
      <c r="J10" s="3654"/>
      <c r="K10" s="3669"/>
      <c r="L10" s="3670"/>
      <c r="M10" s="3656"/>
      <c r="N10" s="2782"/>
      <c r="O10" s="2782"/>
      <c r="P10" s="2782"/>
      <c r="Q10" s="2782"/>
      <c r="R10" s="1411" t="s">
        <v>2282</v>
      </c>
      <c r="S10" s="1412"/>
      <c r="T10" s="1412"/>
      <c r="U10" s="1413"/>
    </row>
    <row r="11" spans="1:21" ht="12.75" customHeight="1" x14ac:dyDescent="0.25">
      <c r="A11" s="3658"/>
      <c r="B11" s="3330"/>
      <c r="C11" s="2483"/>
      <c r="D11" s="2483"/>
      <c r="E11" s="3665"/>
      <c r="F11" s="3654"/>
      <c r="G11" s="3665"/>
      <c r="H11" s="3654"/>
      <c r="I11" s="3654"/>
      <c r="J11" s="3654"/>
      <c r="K11" s="3669"/>
      <c r="L11" s="3670"/>
      <c r="M11" s="3656"/>
      <c r="N11" s="2782"/>
      <c r="O11" s="2782"/>
      <c r="P11" s="2782"/>
      <c r="Q11" s="2782"/>
      <c r="R11" s="3677"/>
      <c r="S11" s="3678"/>
      <c r="T11" s="3678"/>
      <c r="U11" s="3679"/>
    </row>
    <row r="12" spans="1:21" ht="12.75" customHeight="1" x14ac:dyDescent="0.25">
      <c r="A12" s="3658"/>
      <c r="B12" s="3330"/>
      <c r="C12" s="2483"/>
      <c r="D12" s="2483"/>
      <c r="E12" s="3665"/>
      <c r="F12" s="3654"/>
      <c r="G12" s="3665"/>
      <c r="H12" s="3654"/>
      <c r="I12" s="3654"/>
      <c r="J12" s="3654"/>
      <c r="K12" s="3669"/>
      <c r="L12" s="3670"/>
      <c r="M12" s="3656"/>
      <c r="N12" s="2782"/>
      <c r="O12" s="2782"/>
      <c r="P12" s="2782"/>
      <c r="Q12" s="2782"/>
      <c r="R12" s="3677"/>
      <c r="S12" s="3678"/>
      <c r="T12" s="3678"/>
      <c r="U12" s="3679"/>
    </row>
    <row r="13" spans="1:21" ht="12.75" customHeight="1" x14ac:dyDescent="0.25">
      <c r="A13" s="3658"/>
      <c r="B13" s="3330"/>
      <c r="C13" s="2483"/>
      <c r="D13" s="2483"/>
      <c r="E13" s="3665"/>
      <c r="F13" s="3654"/>
      <c r="G13" s="3665"/>
      <c r="H13" s="3654"/>
      <c r="I13" s="3654"/>
      <c r="J13" s="3654"/>
      <c r="K13" s="3669"/>
      <c r="L13" s="3670"/>
      <c r="M13" s="3656"/>
      <c r="N13" s="2782"/>
      <c r="O13" s="2782"/>
      <c r="P13" s="2782"/>
      <c r="Q13" s="2782"/>
      <c r="R13" s="3677"/>
      <c r="S13" s="3678"/>
      <c r="T13" s="3678"/>
      <c r="U13" s="3679"/>
    </row>
    <row r="14" spans="1:21" ht="13.5" customHeight="1" x14ac:dyDescent="0.25">
      <c r="A14" s="3658"/>
      <c r="B14" s="3330"/>
      <c r="C14" s="2483"/>
      <c r="D14" s="2483"/>
      <c r="E14" s="3665"/>
      <c r="F14" s="3654"/>
      <c r="G14" s="3665"/>
      <c r="H14" s="3654"/>
      <c r="I14" s="3654"/>
      <c r="J14" s="3654"/>
      <c r="K14" s="3669"/>
      <c r="L14" s="3670"/>
      <c r="M14" s="3656"/>
      <c r="N14" s="2782"/>
      <c r="O14" s="2782"/>
      <c r="P14" s="2782"/>
      <c r="Q14" s="2364"/>
      <c r="R14" s="1436" t="s">
        <v>2283</v>
      </c>
      <c r="S14" s="1412"/>
      <c r="T14" s="1412"/>
      <c r="U14" s="1413"/>
    </row>
    <row r="15" spans="1:21" ht="13" customHeight="1" x14ac:dyDescent="0.25">
      <c r="A15" s="3658"/>
      <c r="B15" s="3330"/>
      <c r="C15" s="2483"/>
      <c r="D15" s="2483"/>
      <c r="E15" s="3665"/>
      <c r="F15" s="3654"/>
      <c r="G15" s="3665"/>
      <c r="H15" s="3654"/>
      <c r="I15" s="3654"/>
      <c r="J15" s="3654"/>
      <c r="K15" s="3669"/>
      <c r="L15" s="3670"/>
      <c r="M15" s="3656"/>
      <c r="N15" s="2782"/>
      <c r="O15" s="2782"/>
      <c r="P15" s="2782"/>
      <c r="Q15" s="2364"/>
      <c r="R15" s="3677" t="s">
        <v>2284</v>
      </c>
      <c r="S15" s="3678"/>
      <c r="T15" s="3678"/>
      <c r="U15" s="3679"/>
    </row>
    <row r="16" spans="1:21" x14ac:dyDescent="0.25">
      <c r="A16" s="3658"/>
      <c r="B16" s="3330"/>
      <c r="C16" s="2483"/>
      <c r="D16" s="2483"/>
      <c r="E16" s="3665"/>
      <c r="F16" s="3654"/>
      <c r="G16" s="3665"/>
      <c r="H16" s="3654"/>
      <c r="I16" s="3654"/>
      <c r="J16" s="3654"/>
      <c r="K16" s="1747"/>
      <c r="L16" s="1747"/>
      <c r="M16" s="3656"/>
      <c r="N16" s="2782"/>
      <c r="O16" s="2782"/>
      <c r="P16" s="2782"/>
      <c r="Q16" s="2364"/>
      <c r="R16" s="3680"/>
      <c r="S16" s="3681"/>
      <c r="T16" s="3681"/>
      <c r="U16" s="3682"/>
    </row>
    <row r="17" spans="1:21" ht="60.75" customHeight="1" x14ac:dyDescent="0.25">
      <c r="A17" s="3658"/>
      <c r="B17" s="3331"/>
      <c r="C17" s="2484"/>
      <c r="D17" s="2484"/>
      <c r="E17" s="3666"/>
      <c r="F17" s="3655"/>
      <c r="G17" s="3666"/>
      <c r="H17" s="3671"/>
      <c r="I17" s="3671"/>
      <c r="J17" s="3671"/>
      <c r="K17" s="1748" t="s">
        <v>2285</v>
      </c>
      <c r="L17" s="1749" t="s">
        <v>2208</v>
      </c>
      <c r="M17" s="889"/>
      <c r="N17" s="2843"/>
      <c r="O17" s="2469"/>
      <c r="P17" s="2843"/>
      <c r="Q17" s="2469"/>
      <c r="R17" s="1889" t="s">
        <v>2286</v>
      </c>
      <c r="S17" s="1887" t="s">
        <v>2287</v>
      </c>
      <c r="T17" s="1887" t="s">
        <v>2288</v>
      </c>
      <c r="U17" s="1887" t="s">
        <v>2289</v>
      </c>
    </row>
    <row r="18" spans="1:21" ht="23" x14ac:dyDescent="0.25">
      <c r="A18" s="3659"/>
      <c r="B18" s="890" t="s">
        <v>2217</v>
      </c>
      <c r="C18" s="890" t="s">
        <v>346</v>
      </c>
      <c r="D18" s="890" t="s">
        <v>346</v>
      </c>
      <c r="E18" s="892" t="s">
        <v>346</v>
      </c>
      <c r="F18" s="891" t="s">
        <v>1590</v>
      </c>
      <c r="G18" s="1063" t="s">
        <v>170</v>
      </c>
      <c r="H18" s="893" t="s">
        <v>346</v>
      </c>
      <c r="I18" s="893" t="s">
        <v>2290</v>
      </c>
      <c r="J18" s="893" t="s">
        <v>346</v>
      </c>
      <c r="K18" s="1750" t="s">
        <v>141</v>
      </c>
      <c r="L18" s="1750" t="s">
        <v>346</v>
      </c>
      <c r="M18" s="894" t="s">
        <v>346</v>
      </c>
      <c r="N18" s="2479" t="s">
        <v>2290</v>
      </c>
      <c r="O18" s="2479" t="s">
        <v>346</v>
      </c>
      <c r="P18" s="2479" t="s">
        <v>346</v>
      </c>
      <c r="Q18" s="2479" t="s">
        <v>141</v>
      </c>
      <c r="R18" s="1887" t="s">
        <v>141</v>
      </c>
      <c r="S18" s="1887" t="s">
        <v>346</v>
      </c>
      <c r="T18" s="1887" t="s">
        <v>141</v>
      </c>
      <c r="U18" s="1887" t="s">
        <v>346</v>
      </c>
    </row>
    <row r="19" spans="1:21" ht="17.5" customHeight="1" x14ac:dyDescent="0.25">
      <c r="A19" s="1482" t="s">
        <v>680</v>
      </c>
      <c r="B19" s="140"/>
      <c r="C19" s="140"/>
      <c r="D19" s="140"/>
      <c r="E19" s="895"/>
      <c r="F19" s="898"/>
      <c r="G19" s="1143"/>
      <c r="H19" s="896"/>
      <c r="I19" s="896"/>
      <c r="J19" s="896"/>
      <c r="K19" s="1751"/>
      <c r="L19" s="1751"/>
      <c r="M19" s="897"/>
      <c r="N19" s="2542"/>
      <c r="O19" s="2542"/>
      <c r="P19" s="2542"/>
      <c r="Q19" s="2542"/>
      <c r="R19" s="1888"/>
      <c r="S19" s="1888"/>
      <c r="T19" s="1888"/>
      <c r="U19" s="1888"/>
    </row>
    <row r="20" spans="1:21" ht="17.5" customHeight="1" x14ac:dyDescent="0.25">
      <c r="A20" s="1482" t="s">
        <v>681</v>
      </c>
      <c r="B20" s="140"/>
      <c r="C20" s="140"/>
      <c r="D20" s="140"/>
      <c r="E20" s="896"/>
      <c r="F20" s="898"/>
      <c r="G20" s="1144"/>
      <c r="H20" s="896"/>
      <c r="I20" s="896"/>
      <c r="J20" s="896"/>
      <c r="K20" s="1751"/>
      <c r="L20" s="1751"/>
      <c r="M20" s="897"/>
      <c r="N20" s="2542"/>
      <c r="O20" s="2542"/>
      <c r="P20" s="2542"/>
      <c r="Q20" s="2542"/>
      <c r="R20" s="1888"/>
      <c r="S20" s="1888"/>
      <c r="T20" s="1888"/>
      <c r="U20" s="1888"/>
    </row>
    <row r="21" spans="1:21" ht="17.5" customHeight="1" x14ac:dyDescent="0.25">
      <c r="A21" s="1482" t="s">
        <v>1235</v>
      </c>
      <c r="B21" s="140"/>
      <c r="C21" s="140"/>
      <c r="D21" s="140"/>
      <c r="E21" s="896"/>
      <c r="F21" s="898"/>
      <c r="G21" s="1144"/>
      <c r="H21" s="896"/>
      <c r="I21" s="896"/>
      <c r="J21" s="896"/>
      <c r="K21" s="1751"/>
      <c r="L21" s="1751"/>
      <c r="M21" s="897"/>
      <c r="N21" s="2542"/>
      <c r="O21" s="2542"/>
      <c r="P21" s="2542"/>
      <c r="Q21" s="2542"/>
      <c r="R21" s="1888"/>
      <c r="S21" s="1888"/>
      <c r="T21" s="1888"/>
      <c r="U21" s="1888"/>
    </row>
    <row r="22" spans="1:21" ht="17.5" customHeight="1" x14ac:dyDescent="0.25">
      <c r="A22" s="1482" t="s">
        <v>1237</v>
      </c>
      <c r="B22" s="140"/>
      <c r="C22" s="140"/>
      <c r="D22" s="140"/>
      <c r="E22" s="896"/>
      <c r="F22" s="898"/>
      <c r="G22" s="1144"/>
      <c r="H22" s="896"/>
      <c r="I22" s="896"/>
      <c r="J22" s="896"/>
      <c r="K22" s="1751"/>
      <c r="L22" s="1751"/>
      <c r="M22" s="897"/>
      <c r="N22" s="2542"/>
      <c r="O22" s="2542"/>
      <c r="P22" s="2542"/>
      <c r="Q22" s="2542"/>
      <c r="R22" s="1888"/>
      <c r="S22" s="1888"/>
      <c r="T22" s="1888"/>
      <c r="U22" s="1888"/>
    </row>
    <row r="23" spans="1:21" ht="17.5" customHeight="1" x14ac:dyDescent="0.25">
      <c r="A23" s="1482" t="s">
        <v>1239</v>
      </c>
      <c r="B23" s="140"/>
      <c r="C23" s="140"/>
      <c r="D23" s="140"/>
      <c r="E23" s="896"/>
      <c r="F23" s="898"/>
      <c r="G23" s="1144"/>
      <c r="H23" s="896"/>
      <c r="I23" s="896"/>
      <c r="J23" s="896"/>
      <c r="K23" s="1751"/>
      <c r="L23" s="1751"/>
      <c r="M23" s="897"/>
      <c r="N23" s="2542"/>
      <c r="O23" s="2542"/>
      <c r="P23" s="2542"/>
      <c r="Q23" s="2542"/>
      <c r="R23" s="1888"/>
      <c r="S23" s="1888"/>
      <c r="T23" s="1888"/>
      <c r="U23" s="1888"/>
    </row>
    <row r="24" spans="1:21" ht="17.5" customHeight="1" x14ac:dyDescent="0.25">
      <c r="A24" s="1482" t="s">
        <v>1241</v>
      </c>
      <c r="B24" s="140"/>
      <c r="C24" s="140"/>
      <c r="D24" s="140"/>
      <c r="E24" s="896"/>
      <c r="F24" s="898"/>
      <c r="G24" s="1144"/>
      <c r="H24" s="896"/>
      <c r="I24" s="896"/>
      <c r="J24" s="896"/>
      <c r="K24" s="1751"/>
      <c r="L24" s="1751"/>
      <c r="M24" s="897"/>
      <c r="N24" s="2542"/>
      <c r="O24" s="2542"/>
      <c r="P24" s="2542"/>
      <c r="Q24" s="2542"/>
      <c r="R24" s="1888"/>
      <c r="S24" s="1888"/>
      <c r="T24" s="1888"/>
      <c r="U24" s="1888"/>
    </row>
    <row r="25" spans="1:21" ht="17.5" customHeight="1" x14ac:dyDescent="0.25">
      <c r="A25" s="1482" t="s">
        <v>1243</v>
      </c>
      <c r="B25" s="140"/>
      <c r="C25" s="140"/>
      <c r="D25" s="140"/>
      <c r="E25" s="896"/>
      <c r="F25" s="898"/>
      <c r="G25" s="1144"/>
      <c r="H25" s="896"/>
      <c r="I25" s="896"/>
      <c r="J25" s="896"/>
      <c r="K25" s="1751"/>
      <c r="L25" s="1751"/>
      <c r="M25" s="897"/>
      <c r="N25" s="2542"/>
      <c r="O25" s="2542"/>
      <c r="P25" s="2542"/>
      <c r="Q25" s="2542"/>
      <c r="R25" s="1888"/>
      <c r="S25" s="1888"/>
      <c r="T25" s="1888"/>
      <c r="U25" s="1888"/>
    </row>
    <row r="26" spans="1:21" ht="17.5" customHeight="1" x14ac:dyDescent="0.25">
      <c r="A26" s="1482" t="s">
        <v>1245</v>
      </c>
      <c r="B26" s="140"/>
      <c r="C26" s="140"/>
      <c r="D26" s="140"/>
      <c r="E26" s="896"/>
      <c r="F26" s="898"/>
      <c r="G26" s="1144"/>
      <c r="H26" s="896"/>
      <c r="I26" s="896"/>
      <c r="J26" s="896"/>
      <c r="K26" s="1751"/>
      <c r="L26" s="1751"/>
      <c r="M26" s="897"/>
      <c r="N26" s="2542"/>
      <c r="O26" s="2542"/>
      <c r="P26" s="2542"/>
      <c r="Q26" s="2542"/>
      <c r="R26" s="1888"/>
      <c r="S26" s="1888"/>
      <c r="T26" s="1888"/>
      <c r="U26" s="1888"/>
    </row>
    <row r="27" spans="1:21" ht="17.5" customHeight="1" x14ac:dyDescent="0.25">
      <c r="A27" s="1482" t="s">
        <v>1247</v>
      </c>
      <c r="B27" s="140"/>
      <c r="C27" s="140"/>
      <c r="D27" s="140"/>
      <c r="E27" s="896"/>
      <c r="F27" s="898"/>
      <c r="G27" s="1144"/>
      <c r="H27" s="896"/>
      <c r="I27" s="896"/>
      <c r="J27" s="896"/>
      <c r="K27" s="1751"/>
      <c r="L27" s="1751"/>
      <c r="M27" s="897"/>
      <c r="N27" s="2542"/>
      <c r="O27" s="2542"/>
      <c r="P27" s="2542"/>
      <c r="Q27" s="2542"/>
      <c r="R27" s="1888"/>
      <c r="S27" s="1888"/>
      <c r="T27" s="1888"/>
      <c r="U27" s="1888"/>
    </row>
    <row r="28" spans="1:21" ht="17.5" customHeight="1" x14ac:dyDescent="0.25">
      <c r="A28" s="1482" t="s">
        <v>1249</v>
      </c>
      <c r="B28" s="140"/>
      <c r="C28" s="140"/>
      <c r="D28" s="140"/>
      <c r="E28" s="896"/>
      <c r="F28" s="898"/>
      <c r="G28" s="1144"/>
      <c r="H28" s="896"/>
      <c r="I28" s="896"/>
      <c r="J28" s="896"/>
      <c r="K28" s="1751"/>
      <c r="L28" s="1751"/>
      <c r="M28" s="897"/>
      <c r="N28" s="2542"/>
      <c r="O28" s="2542"/>
      <c r="P28" s="2542"/>
      <c r="Q28" s="2542"/>
      <c r="R28" s="1888"/>
      <c r="S28" s="1888"/>
      <c r="T28" s="1888"/>
      <c r="U28" s="1888"/>
    </row>
    <row r="29" spans="1:21" ht="17.5" customHeight="1" x14ac:dyDescent="0.25">
      <c r="A29" s="1482" t="s">
        <v>1251</v>
      </c>
      <c r="B29" s="140"/>
      <c r="C29" s="140"/>
      <c r="D29" s="140"/>
      <c r="E29" s="898"/>
      <c r="F29" s="898"/>
      <c r="G29" s="1145"/>
      <c r="H29" s="898"/>
      <c r="I29" s="898"/>
      <c r="J29" s="898"/>
      <c r="K29" s="1752"/>
      <c r="L29" s="1752"/>
      <c r="M29" s="2543"/>
      <c r="N29" s="2534"/>
      <c r="O29" s="2534"/>
      <c r="P29" s="2534"/>
      <c r="Q29" s="2534"/>
      <c r="R29" s="1888"/>
      <c r="S29" s="1888"/>
      <c r="T29" s="1888"/>
      <c r="U29" s="1888"/>
    </row>
    <row r="30" spans="1:21" ht="17.5" customHeight="1" x14ac:dyDescent="0.25">
      <c r="A30" s="1482" t="s">
        <v>1253</v>
      </c>
      <c r="B30" s="140"/>
      <c r="C30" s="140"/>
      <c r="D30" s="140"/>
      <c r="E30" s="898"/>
      <c r="F30" s="898"/>
      <c r="G30" s="1145"/>
      <c r="H30" s="898"/>
      <c r="I30" s="898"/>
      <c r="J30" s="898"/>
      <c r="K30" s="1752"/>
      <c r="L30" s="1752"/>
      <c r="M30" s="2543"/>
      <c r="N30" s="2534"/>
      <c r="O30" s="2534"/>
      <c r="P30" s="2534"/>
      <c r="Q30" s="2534"/>
      <c r="R30" s="1888"/>
      <c r="S30" s="1888"/>
      <c r="T30" s="1888"/>
      <c r="U30" s="1888"/>
    </row>
    <row r="31" spans="1:21" ht="17.5" customHeight="1" x14ac:dyDescent="0.25">
      <c r="A31" s="1482" t="s">
        <v>1255</v>
      </c>
      <c r="B31" s="140"/>
      <c r="C31" s="140"/>
      <c r="D31" s="140"/>
      <c r="E31" s="898"/>
      <c r="F31" s="898"/>
      <c r="G31" s="1145"/>
      <c r="H31" s="898"/>
      <c r="I31" s="898"/>
      <c r="J31" s="898"/>
      <c r="K31" s="1752"/>
      <c r="L31" s="1752"/>
      <c r="M31" s="2543"/>
      <c r="N31" s="2534"/>
      <c r="O31" s="2534"/>
      <c r="P31" s="2534"/>
      <c r="Q31" s="2534"/>
      <c r="R31" s="1888"/>
      <c r="S31" s="1888"/>
      <c r="T31" s="1888"/>
      <c r="U31" s="1888"/>
    </row>
    <row r="32" spans="1:21" ht="17.5" customHeight="1" x14ac:dyDescent="0.25">
      <c r="A32" s="1482" t="s">
        <v>2224</v>
      </c>
      <c r="B32" s="140"/>
      <c r="C32" s="140"/>
      <c r="D32" s="140"/>
      <c r="E32" s="898"/>
      <c r="F32" s="898"/>
      <c r="G32" s="1145"/>
      <c r="H32" s="898"/>
      <c r="I32" s="898"/>
      <c r="J32" s="898"/>
      <c r="K32" s="1752"/>
      <c r="L32" s="1752"/>
      <c r="M32" s="2543"/>
      <c r="N32" s="2534"/>
      <c r="O32" s="2534"/>
      <c r="P32" s="2534"/>
      <c r="Q32" s="2534"/>
      <c r="R32" s="1888"/>
      <c r="S32" s="1888"/>
      <c r="T32" s="1888"/>
      <c r="U32" s="1888"/>
    </row>
    <row r="33" spans="1:21" ht="17.5" customHeight="1" x14ac:dyDescent="0.25">
      <c r="A33" s="1482" t="s">
        <v>2225</v>
      </c>
      <c r="B33" s="140"/>
      <c r="C33" s="140"/>
      <c r="D33" s="140"/>
      <c r="E33" s="898"/>
      <c r="F33" s="898"/>
      <c r="G33" s="1145"/>
      <c r="H33" s="898"/>
      <c r="I33" s="898"/>
      <c r="J33" s="898"/>
      <c r="K33" s="1752"/>
      <c r="L33" s="1752"/>
      <c r="M33" s="2543"/>
      <c r="N33" s="2534"/>
      <c r="O33" s="2534"/>
      <c r="P33" s="2534"/>
      <c r="Q33" s="2534"/>
      <c r="R33" s="1888"/>
      <c r="S33" s="1888"/>
      <c r="T33" s="1888"/>
      <c r="U33" s="1888"/>
    </row>
    <row r="34" spans="1:21" x14ac:dyDescent="0.25">
      <c r="B34">
        <v>1</v>
      </c>
      <c r="C34">
        <v>2</v>
      </c>
      <c r="D34">
        <v>3</v>
      </c>
      <c r="E34" s="885">
        <v>4</v>
      </c>
      <c r="F34" s="885">
        <v>5</v>
      </c>
      <c r="G34" s="975">
        <v>6</v>
      </c>
      <c r="H34" s="885">
        <v>7</v>
      </c>
      <c r="I34" s="885">
        <v>8</v>
      </c>
      <c r="J34" s="885">
        <v>9</v>
      </c>
      <c r="K34" s="885">
        <v>10</v>
      </c>
      <c r="M34" s="886">
        <v>11</v>
      </c>
      <c r="N34" s="1744">
        <v>12</v>
      </c>
      <c r="O34" s="1744">
        <v>13</v>
      </c>
      <c r="P34" s="1744">
        <v>14</v>
      </c>
      <c r="Q34" s="1744">
        <v>15</v>
      </c>
      <c r="R34" s="823">
        <v>16</v>
      </c>
    </row>
  </sheetData>
  <mergeCells count="21">
    <mergeCell ref="R4:U4"/>
    <mergeCell ref="D5:D10"/>
    <mergeCell ref="G5:G17"/>
    <mergeCell ref="K4:L4"/>
    <mergeCell ref="K5:L15"/>
    <mergeCell ref="P5:P17"/>
    <mergeCell ref="Q5:Q13"/>
    <mergeCell ref="J5:J17"/>
    <mergeCell ref="R5:U9"/>
    <mergeCell ref="O5:O16"/>
    <mergeCell ref="E5:E17"/>
    <mergeCell ref="H5:H17"/>
    <mergeCell ref="R11:U13"/>
    <mergeCell ref="R15:U16"/>
    <mergeCell ref="I5:I17"/>
    <mergeCell ref="N5:N17"/>
    <mergeCell ref="F5:F17"/>
    <mergeCell ref="M5:M16"/>
    <mergeCell ref="A4:A18"/>
    <mergeCell ref="C5:C10"/>
    <mergeCell ref="B8:B17"/>
  </mergeCells>
  <pageMargins left="0.314" right="0.314" top="0.11799999999999999" bottom="0.27500000000000002" header="0.157" footer="0.11799999999999999"/>
  <pageSetup scale="92" firstPageNumber="78" orientation="landscape" r:id="rId1"/>
  <headerFooter>
    <oddFooter>&amp;C&amp;P</oddFooter>
  </headerFooter>
  <colBreaks count="1" manualBreakCount="1">
    <brk id="6" max="32"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H34"/>
  <sheetViews>
    <sheetView view="pageBreakPreview" topLeftCell="Y1" zoomScale="120" zoomScaleNormal="120" zoomScaleSheetLayoutView="120" workbookViewId="0">
      <selection activeCell="B8" sqref="B8:B17"/>
    </sheetView>
  </sheetViews>
  <sheetFormatPr defaultColWidth="8.81640625" defaultRowHeight="12.5" x14ac:dyDescent="0.25"/>
  <cols>
    <col min="1" max="1" width="4.1796875" customWidth="1"/>
    <col min="2" max="2" width="32.1796875" customWidth="1"/>
    <col min="3" max="3" width="6.453125" style="885" customWidth="1"/>
    <col min="4" max="4" width="7.1796875" style="975" bestFit="1" customWidth="1"/>
    <col min="5" max="5" width="7.26953125" style="885" customWidth="1"/>
    <col min="6" max="6" width="6.1796875" style="885" customWidth="1"/>
    <col min="7" max="7" width="7.7265625" style="885" customWidth="1"/>
    <col min="8" max="8" width="6.453125" style="885" bestFit="1" customWidth="1"/>
    <col min="9" max="9" width="6.7265625" style="885" customWidth="1"/>
    <col min="10" max="10" width="12.453125" style="886" customWidth="1"/>
    <col min="11" max="11" width="8.26953125" style="10" customWidth="1"/>
    <col min="12" max="12" width="6.26953125" style="10" customWidth="1"/>
    <col min="13" max="13" width="8.1796875" style="10" customWidth="1"/>
    <col min="14" max="14" width="7.7265625" style="10" customWidth="1"/>
    <col min="15" max="15" width="10.1796875" style="10" customWidth="1"/>
    <col min="16" max="16" width="8.1796875" style="823" bestFit="1" customWidth="1"/>
    <col min="17" max="17" width="14.453125" style="823" customWidth="1"/>
    <col min="18" max="18" width="13.81640625" style="823" customWidth="1"/>
    <col min="19" max="19" width="12.1796875" style="823" customWidth="1"/>
    <col min="20" max="20" width="12" style="823" customWidth="1"/>
    <col min="21" max="21" width="12.7265625" style="823" customWidth="1"/>
    <col min="22" max="22" width="6.81640625" style="823" customWidth="1"/>
    <col min="23" max="23" width="6.7265625" style="823" customWidth="1"/>
    <col min="24" max="24" width="10.1796875" style="823" customWidth="1"/>
    <col min="25" max="25" width="26.81640625" style="823" customWidth="1"/>
    <col min="26" max="26" width="11.7265625" style="823" customWidth="1"/>
    <col min="27" max="27" width="22" style="823" customWidth="1"/>
    <col min="28" max="28" width="8.26953125" style="823" customWidth="1"/>
    <col min="29" max="29" width="5.1796875" style="823" bestFit="1" customWidth="1"/>
    <col min="30" max="30" width="6.81640625" style="823" customWidth="1"/>
    <col min="31" max="31" width="11.453125" style="10" customWidth="1"/>
    <col min="32" max="32" width="10.453125" style="823" bestFit="1" customWidth="1"/>
    <col min="33" max="33" width="12.7265625" style="823" customWidth="1"/>
    <col min="34" max="34" width="14.26953125" style="823" customWidth="1"/>
  </cols>
  <sheetData>
    <row r="1" spans="1:34" ht="13" customHeight="1" x14ac:dyDescent="0.3">
      <c r="A1" s="798"/>
      <c r="B1" s="3694" t="str">
        <f>CONCATENATE("Liste des  cultures relevées dans les parcelles du ménage pour la campagne ",Variables!C4)</f>
        <v>Liste des  cultures relevées dans les parcelles du ménage pour la campagne 2021/2022</v>
      </c>
      <c r="D1" s="1487" t="s">
        <v>2094</v>
      </c>
      <c r="E1" s="1487"/>
      <c r="P1" s="849"/>
      <c r="R1" s="1487" t="s">
        <v>2094</v>
      </c>
      <c r="Y1" s="1487" t="s">
        <v>2094</v>
      </c>
      <c r="AA1" s="1487"/>
      <c r="AE1" s="849"/>
    </row>
    <row r="2" spans="1:34" ht="13" x14ac:dyDescent="0.3">
      <c r="A2" s="798"/>
      <c r="B2" s="3694"/>
      <c r="D2" s="1487" t="s">
        <v>2291</v>
      </c>
      <c r="E2" s="1487"/>
      <c r="J2" s="887"/>
      <c r="K2" s="798"/>
      <c r="L2" s="798"/>
      <c r="M2" s="798"/>
      <c r="N2" s="798"/>
      <c r="O2" s="798"/>
      <c r="P2" s="849"/>
      <c r="R2" s="1487" t="s">
        <v>2291</v>
      </c>
      <c r="Y2" s="1487" t="s">
        <v>2291</v>
      </c>
      <c r="AA2" s="1487"/>
      <c r="AE2" s="849"/>
    </row>
    <row r="3" spans="1:34" x14ac:dyDescent="0.25">
      <c r="B3" s="3695"/>
      <c r="E3" s="888"/>
      <c r="F3" s="888"/>
      <c r="G3" s="888"/>
      <c r="H3" s="888"/>
      <c r="I3" s="888"/>
    </row>
    <row r="4" spans="1:34" ht="13.5" customHeight="1" x14ac:dyDescent="0.25">
      <c r="A4" s="3657" t="s">
        <v>2292</v>
      </c>
      <c r="B4" s="851" t="str">
        <f>CONCATENATE("(16D.",TEXT(B34,"00"),")")</f>
        <v>(16D.00)</v>
      </c>
      <c r="C4" s="851" t="str">
        <f>CONCATENATE("(16D.",TEXT(C34,"00"),")")</f>
        <v>(16D.01)</v>
      </c>
      <c r="D4" s="3690" t="str">
        <f>CONCATENATE("(16D.",TEXT(D34,"00"),")")</f>
        <v>(16D.02)</v>
      </c>
      <c r="E4" s="3691"/>
      <c r="F4" s="3692"/>
      <c r="G4" s="851" t="str">
        <f>CONCATENATE("(16D.",TEXT(G34,"00"),")")</f>
        <v>(16D.03)</v>
      </c>
      <c r="H4" s="1753"/>
      <c r="I4" s="1753"/>
      <c r="J4" s="851" t="str">
        <f>CONCATENATE("(16D.",TEXT(J34,"00"),")")</f>
        <v>(16D.04)</v>
      </c>
      <c r="K4" s="1885" t="str">
        <f>CONCATENATE("(16D.",TEXT(K34,"00"),")")</f>
        <v>(16D.05)</v>
      </c>
      <c r="L4" s="1886"/>
      <c r="M4" s="1886"/>
      <c r="N4" s="1886"/>
      <c r="O4" s="851" t="str">
        <f t="shared" ref="O4:V4" si="0">CONCATENATE("(16D.",TEXT(O34,"00"),")")</f>
        <v>(16D.06)</v>
      </c>
      <c r="P4" s="851" t="str">
        <f t="shared" si="0"/>
        <v>(16D.07)</v>
      </c>
      <c r="Q4" s="851" t="str">
        <f t="shared" si="0"/>
        <v>(16D.08)</v>
      </c>
      <c r="R4" s="851" t="str">
        <f t="shared" si="0"/>
        <v>(16D.09)</v>
      </c>
      <c r="S4" s="851" t="str">
        <f t="shared" si="0"/>
        <v>(16D.10)</v>
      </c>
      <c r="T4" s="851" t="str">
        <f t="shared" si="0"/>
        <v>(16D.11)</v>
      </c>
      <c r="U4" s="851" t="str">
        <f t="shared" si="0"/>
        <v>(16D.12)</v>
      </c>
      <c r="V4" s="851" t="str">
        <f t="shared" si="0"/>
        <v>(16D.13)</v>
      </c>
      <c r="W4" s="1753"/>
      <c r="X4" s="1753"/>
      <c r="Y4" s="851" t="str">
        <f>CONCATENATE("(16D.",TEXT(Y34,"00"),")")</f>
        <v>(16D.14)</v>
      </c>
      <c r="Z4" s="851" t="str">
        <f>CONCATENATE("(16D.",TEXT(Z34,"00"),")")</f>
        <v>(16D.15)</v>
      </c>
      <c r="AA4" s="851" t="str">
        <f>CONCATENATE("(16D.",TEXT(AA34,"00"),")")</f>
        <v>(16D.16)</v>
      </c>
      <c r="AB4" s="851" t="str">
        <f>CONCATENATE("(16D.",TEXT(AB34,"00"),")")</f>
        <v>(16D.17)</v>
      </c>
      <c r="AC4" s="1745"/>
      <c r="AD4" s="1746"/>
      <c r="AE4" s="851" t="str">
        <f>CONCATENATE("(16D.",TEXT(AE34,"00"),")")</f>
        <v>(16D.18)</v>
      </c>
      <c r="AF4" s="851" t="str">
        <f>CONCATENATE("(16D.",TEXT(AF34,"00"),")")</f>
        <v>(16D.19)</v>
      </c>
      <c r="AG4" s="851" t="str">
        <f>CONCATENATE("(16D.",TEXT(AG34,"00"),")")</f>
        <v>(16D.20)</v>
      </c>
      <c r="AH4" s="1753"/>
    </row>
    <row r="5" spans="1:34" ht="12.75" customHeight="1" x14ac:dyDescent="0.25">
      <c r="A5" s="3658"/>
      <c r="B5" s="855"/>
      <c r="C5" s="3664" t="s">
        <v>2273</v>
      </c>
      <c r="D5" s="3240" t="s">
        <v>2293</v>
      </c>
      <c r="E5" s="3221"/>
      <c r="F5" s="3241"/>
      <c r="G5" s="3593" t="s">
        <v>2294</v>
      </c>
      <c r="H5" s="3696"/>
      <c r="I5" s="3601"/>
      <c r="J5" s="3220" t="str">
        <f>CONCATENATE("Une partie de la production a-t-elle été vendue? 
1=Oui 
2=Non ►",U4,)</f>
        <v>Une partie de la production a-t-elle été vendue? 
1=Oui 
2=Non ►(16D.12)</v>
      </c>
      <c r="K5" s="3672" t="s">
        <v>2295</v>
      </c>
      <c r="L5" s="3673"/>
      <c r="M5" s="3673"/>
      <c r="N5" s="3674"/>
      <c r="O5" s="3220" t="s">
        <v>2296</v>
      </c>
      <c r="P5" s="3689" t="s">
        <v>2297</v>
      </c>
      <c r="Q5" s="3693" t="s">
        <v>2298</v>
      </c>
      <c r="R5" s="3220" t="str">
        <f>CONCATENATE("Avez-vous vendu des résidus de la production de [CULTURE] ?
1 = Oui 
2 = Non  ►",T4)</f>
        <v>Avez-vous vendu des résidus de la production de [CULTURE] ?
1 = Oui 
2 = Non  ►(16D.11)</v>
      </c>
      <c r="S5" s="3220" t="s">
        <v>2299</v>
      </c>
      <c r="T5" s="3220" t="s">
        <v>2300</v>
      </c>
      <c r="U5" s="3220" t="str">
        <f>CONCATENATE("Une partie de la production de la présente campagne est-elle en stock? 
1=Oui 
2=Non ►",AF4,)</f>
        <v>Une partie de la production de la présente campagne est-elle en stock? 
1=Oui 
2=Non ►(16D.19)</v>
      </c>
      <c r="V5" s="3240" t="s">
        <v>2301</v>
      </c>
      <c r="W5" s="3221"/>
      <c r="X5" s="3241"/>
      <c r="Y5" s="3250" t="str">
        <f>CONCATENATE("Dans quel but principal, stockez vous [Nom de la culture]?
1=Autoconsommation
2 = Vente à des prix plus élevés ►",AB4,"
3= Vente pour d'autres besoins ►",AB4,"
4=Semence
5=Autre (à préciser)")</f>
        <v>Dans quel but principal, stockez vous [Nom de la culture]?
1=Autoconsommation
2 = Vente à des prix plus élevés ►(16D.17)
3= Vente pour d'autres besoins ►(16D.17)
4=Semence
5=Autre (à préciser)</v>
      </c>
      <c r="Z5" s="3220" t="str">
        <f>CONCATENATE("Pour la production encore en stock, envisagez-vous de vendre plus tard une partie de ce stock?
1=Oui ►",AB4,
"
2=Non")</f>
        <v>Pour la production encore en stock, envisagez-vous de vendre plus tard une partie de ce stock?
1=Oui ►(16D.17)
2=Non</v>
      </c>
      <c r="AA5" s="3220" t="str">
        <f>CONCATENATE("Pour quelle raison principale n'envisagez-vous pas de vendre au moins une partie de la production? 
1=Insuffisant pour le ménage
2=Prix faibles
3= Semences 
4=Manque de clients
5=Absence de route/marché
6=Autre (à préciser)
►►",AF4)</f>
        <v>Pour quelle raison principale n'envisagez-vous pas de vendre au moins une partie de la production? 
1=Insuffisant pour le ménage
2=Prix faibles
3= Semences 
4=Manque de clients
5=Absence de route/marché
6=Autre (à préciser)
►►(16D.19)</v>
      </c>
      <c r="AB5" s="3240" t="s">
        <v>2302</v>
      </c>
      <c r="AC5" s="3221"/>
      <c r="AD5" s="3241"/>
      <c r="AE5" s="3220" t="str">
        <f>CONCATENATE("A quel prix unitaire envisagez-vous de le vendre selon l'unité relevée en ",AB4,"?")</f>
        <v>A quel prix unitaire envisagez-vous de le vendre selon l'unité relevée en (16D.17)?</v>
      </c>
      <c r="AF5" s="3220" t="s">
        <v>2303</v>
      </c>
      <c r="AG5" s="3683" t="s">
        <v>2304</v>
      </c>
      <c r="AH5" s="3684"/>
    </row>
    <row r="6" spans="1:34" ht="13.5" customHeight="1" x14ac:dyDescent="0.25">
      <c r="A6" s="3658"/>
      <c r="B6" s="856" t="s">
        <v>171</v>
      </c>
      <c r="C6" s="3665"/>
      <c r="D6" s="2807"/>
      <c r="E6" s="3222"/>
      <c r="F6" s="2852"/>
      <c r="G6" s="3594"/>
      <c r="H6" s="3697"/>
      <c r="I6" s="3263"/>
      <c r="J6" s="2782"/>
      <c r="K6" s="3269"/>
      <c r="L6" s="3675"/>
      <c r="M6" s="3675"/>
      <c r="N6" s="3676"/>
      <c r="O6" s="2782"/>
      <c r="P6" s="3596"/>
      <c r="Q6" s="3693"/>
      <c r="R6" s="2782"/>
      <c r="S6" s="2782"/>
      <c r="T6" s="2782"/>
      <c r="U6" s="2782"/>
      <c r="V6" s="2807"/>
      <c r="W6" s="3222"/>
      <c r="X6" s="2852"/>
      <c r="Y6" s="3251"/>
      <c r="Z6" s="2782"/>
      <c r="AA6" s="2782"/>
      <c r="AB6" s="2807"/>
      <c r="AC6" s="3222"/>
      <c r="AD6" s="2852"/>
      <c r="AE6" s="2782"/>
      <c r="AF6" s="2782"/>
      <c r="AG6" s="3685"/>
      <c r="AH6" s="3686"/>
    </row>
    <row r="7" spans="1:34" ht="12.75" customHeight="1" x14ac:dyDescent="0.25">
      <c r="A7" s="3658"/>
      <c r="B7" s="857"/>
      <c r="C7" s="3665"/>
      <c r="D7" s="2807"/>
      <c r="E7" s="3222"/>
      <c r="F7" s="2852"/>
      <c r="G7" s="3594"/>
      <c r="H7" s="3697"/>
      <c r="I7" s="3263"/>
      <c r="J7" s="2782"/>
      <c r="K7" s="3269"/>
      <c r="L7" s="3675"/>
      <c r="M7" s="3675"/>
      <c r="N7" s="3676"/>
      <c r="O7" s="2782"/>
      <c r="P7" s="3596"/>
      <c r="Q7" s="3693"/>
      <c r="R7" s="2782"/>
      <c r="S7" s="2782"/>
      <c r="T7" s="2782"/>
      <c r="U7" s="2782"/>
      <c r="V7" s="2807"/>
      <c r="W7" s="3222"/>
      <c r="X7" s="2852"/>
      <c r="Y7" s="3251"/>
      <c r="Z7" s="2782"/>
      <c r="AA7" s="2782"/>
      <c r="AB7" s="2807"/>
      <c r="AC7" s="3222"/>
      <c r="AD7" s="2852"/>
      <c r="AE7" s="2782"/>
      <c r="AF7" s="2782"/>
      <c r="AG7" s="3685"/>
      <c r="AH7" s="3686"/>
    </row>
    <row r="8" spans="1:34" ht="12.75" customHeight="1" x14ac:dyDescent="0.25">
      <c r="A8" s="3658"/>
      <c r="B8" s="3660" t="s">
        <v>2305</v>
      </c>
      <c r="C8" s="3665"/>
      <c r="D8" s="2807"/>
      <c r="E8" s="3222"/>
      <c r="F8" s="2852"/>
      <c r="G8" s="3594"/>
      <c r="H8" s="3697"/>
      <c r="I8" s="3263"/>
      <c r="J8" s="2782"/>
      <c r="K8" s="3269"/>
      <c r="L8" s="3675"/>
      <c r="M8" s="3675"/>
      <c r="N8" s="3676"/>
      <c r="O8" s="2782"/>
      <c r="P8" s="3596"/>
      <c r="Q8" s="3693"/>
      <c r="R8" s="2782"/>
      <c r="S8" s="2782"/>
      <c r="T8" s="2782"/>
      <c r="U8" s="2782"/>
      <c r="V8" s="2807"/>
      <c r="W8" s="3222"/>
      <c r="X8" s="2852"/>
      <c r="Y8" s="3251"/>
      <c r="Z8" s="2782"/>
      <c r="AA8" s="2782"/>
      <c r="AB8" s="2807"/>
      <c r="AC8" s="3222"/>
      <c r="AD8" s="2852"/>
      <c r="AE8" s="2782"/>
      <c r="AF8" s="2782"/>
      <c r="AG8" s="3685"/>
      <c r="AH8" s="3686"/>
    </row>
    <row r="9" spans="1:34" ht="12.75" customHeight="1" x14ac:dyDescent="0.25">
      <c r="A9" s="3658"/>
      <c r="B9" s="3330"/>
      <c r="C9" s="3665"/>
      <c r="D9" s="2807"/>
      <c r="E9" s="3222"/>
      <c r="F9" s="2852"/>
      <c r="G9" s="3594"/>
      <c r="H9" s="3697"/>
      <c r="I9" s="3263"/>
      <c r="J9" s="2782"/>
      <c r="K9" s="3269"/>
      <c r="L9" s="3675"/>
      <c r="M9" s="3675"/>
      <c r="N9" s="3676"/>
      <c r="O9" s="2782"/>
      <c r="P9" s="3596"/>
      <c r="Q9" s="3693"/>
      <c r="R9" s="2782"/>
      <c r="S9" s="2782"/>
      <c r="T9" s="2782"/>
      <c r="U9" s="2782"/>
      <c r="V9" s="2807"/>
      <c r="W9" s="3222"/>
      <c r="X9" s="2852"/>
      <c r="Y9" s="3251"/>
      <c r="Z9" s="2782"/>
      <c r="AA9" s="2782"/>
      <c r="AB9" s="2807"/>
      <c r="AC9" s="3222"/>
      <c r="AD9" s="2852"/>
      <c r="AE9" s="2782"/>
      <c r="AF9" s="2782"/>
      <c r="AG9" s="3685"/>
      <c r="AH9" s="3686"/>
    </row>
    <row r="10" spans="1:34" ht="12.75" customHeight="1" x14ac:dyDescent="0.25">
      <c r="A10" s="3658"/>
      <c r="B10" s="3330"/>
      <c r="C10" s="3665"/>
      <c r="D10" s="1411" t="s">
        <v>2282</v>
      </c>
      <c r="E10" s="1412"/>
      <c r="F10" s="1413"/>
      <c r="G10" s="1411" t="s">
        <v>2282</v>
      </c>
      <c r="H10" s="1412"/>
      <c r="I10" s="1413"/>
      <c r="J10" s="2782"/>
      <c r="K10" s="1411" t="s">
        <v>2282</v>
      </c>
      <c r="L10" s="1412"/>
      <c r="M10" s="1412"/>
      <c r="N10" s="1413"/>
      <c r="O10" s="2782"/>
      <c r="P10" s="3596"/>
      <c r="Q10" s="3693"/>
      <c r="R10" s="2782"/>
      <c r="S10" s="2782"/>
      <c r="T10" s="2782"/>
      <c r="U10" s="2782"/>
      <c r="V10" s="1411" t="s">
        <v>2282</v>
      </c>
      <c r="W10" s="1412"/>
      <c r="X10" s="1413"/>
      <c r="Y10" s="3251"/>
      <c r="Z10" s="2782"/>
      <c r="AA10" s="2782"/>
      <c r="AB10" s="1411" t="s">
        <v>2282</v>
      </c>
      <c r="AC10" s="1412"/>
      <c r="AD10" s="1413"/>
      <c r="AE10" s="2782"/>
      <c r="AF10" s="2782"/>
      <c r="AG10" s="3685"/>
      <c r="AH10" s="3686"/>
    </row>
    <row r="11" spans="1:34" ht="12.75" customHeight="1" x14ac:dyDescent="0.25">
      <c r="A11" s="3658"/>
      <c r="B11" s="3330"/>
      <c r="C11" s="3665"/>
      <c r="D11" s="3677"/>
      <c r="E11" s="3678"/>
      <c r="F11" s="3679"/>
      <c r="G11" s="3677"/>
      <c r="H11" s="3678"/>
      <c r="I11" s="3679"/>
      <c r="J11" s="2782"/>
      <c r="K11" s="3677"/>
      <c r="L11" s="3678"/>
      <c r="M11" s="3678"/>
      <c r="N11" s="3679"/>
      <c r="O11" s="2782"/>
      <c r="P11" s="3596"/>
      <c r="Q11" s="3693"/>
      <c r="R11" s="2782"/>
      <c r="S11" s="2782"/>
      <c r="T11" s="2782"/>
      <c r="U11" s="2782"/>
      <c r="V11" s="3677"/>
      <c r="W11" s="3678"/>
      <c r="X11" s="3679"/>
      <c r="Y11" s="3251"/>
      <c r="Z11" s="2782"/>
      <c r="AA11" s="2782"/>
      <c r="AB11" s="3677"/>
      <c r="AC11" s="3678"/>
      <c r="AD11" s="3679"/>
      <c r="AE11" s="2782"/>
      <c r="AF11" s="2782"/>
      <c r="AG11" s="3685"/>
      <c r="AH11" s="3686"/>
    </row>
    <row r="12" spans="1:34" ht="12.75" customHeight="1" x14ac:dyDescent="0.25">
      <c r="A12" s="3658"/>
      <c r="B12" s="3330"/>
      <c r="C12" s="3665"/>
      <c r="D12" s="3677"/>
      <c r="E12" s="3678"/>
      <c r="F12" s="3679"/>
      <c r="G12" s="3677"/>
      <c r="H12" s="3678"/>
      <c r="I12" s="3679"/>
      <c r="J12" s="2782"/>
      <c r="K12" s="3677"/>
      <c r="L12" s="3678"/>
      <c r="M12" s="3678"/>
      <c r="N12" s="3679"/>
      <c r="O12" s="2782"/>
      <c r="P12" s="3596"/>
      <c r="Q12" s="3693"/>
      <c r="R12" s="2782"/>
      <c r="S12" s="2782"/>
      <c r="T12" s="2782"/>
      <c r="U12" s="2782"/>
      <c r="V12" s="3677"/>
      <c r="W12" s="3678"/>
      <c r="X12" s="3679"/>
      <c r="Y12" s="3251"/>
      <c r="Z12" s="2782"/>
      <c r="AA12" s="2782"/>
      <c r="AB12" s="3677"/>
      <c r="AC12" s="3678"/>
      <c r="AD12" s="3679"/>
      <c r="AE12" s="2782"/>
      <c r="AF12" s="2782"/>
      <c r="AG12" s="3685"/>
      <c r="AH12" s="3686"/>
    </row>
    <row r="13" spans="1:34" ht="12.75" customHeight="1" x14ac:dyDescent="0.25">
      <c r="A13" s="3658"/>
      <c r="B13" s="3330"/>
      <c r="C13" s="3665"/>
      <c r="D13" s="3677"/>
      <c r="E13" s="3678"/>
      <c r="F13" s="3679"/>
      <c r="G13" s="3677"/>
      <c r="H13" s="3678"/>
      <c r="I13" s="3679"/>
      <c r="J13" s="2782"/>
      <c r="K13" s="3677"/>
      <c r="L13" s="3678"/>
      <c r="M13" s="3678"/>
      <c r="N13" s="3679"/>
      <c r="O13" s="2782"/>
      <c r="P13" s="3596"/>
      <c r="Q13" s="3693"/>
      <c r="R13" s="2782"/>
      <c r="S13" s="2782"/>
      <c r="T13" s="2782"/>
      <c r="U13" s="2782"/>
      <c r="V13" s="1411" t="s">
        <v>2283</v>
      </c>
      <c r="W13" s="1412"/>
      <c r="X13" s="1413"/>
      <c r="Y13" s="3251"/>
      <c r="Z13" s="2782"/>
      <c r="AA13" s="2782"/>
      <c r="AB13" s="3677"/>
      <c r="AC13" s="3678"/>
      <c r="AD13" s="3679"/>
      <c r="AE13" s="2782"/>
      <c r="AF13" s="2782"/>
      <c r="AG13" s="3685"/>
      <c r="AH13" s="3686"/>
    </row>
    <row r="14" spans="1:34" ht="13.5" customHeight="1" x14ac:dyDescent="0.25">
      <c r="A14" s="3658"/>
      <c r="B14" s="3330"/>
      <c r="C14" s="3665"/>
      <c r="D14" s="1436" t="s">
        <v>2283</v>
      </c>
      <c r="E14" s="1412"/>
      <c r="F14" s="1413"/>
      <c r="G14" s="1436" t="s">
        <v>2283</v>
      </c>
      <c r="H14" s="1412"/>
      <c r="I14" s="1413"/>
      <c r="J14" s="2782"/>
      <c r="K14" s="1436" t="s">
        <v>2283</v>
      </c>
      <c r="L14" s="1412"/>
      <c r="M14" s="1412"/>
      <c r="N14" s="1413"/>
      <c r="O14" s="2782"/>
      <c r="P14" s="3596"/>
      <c r="Q14" s="3693"/>
      <c r="R14" s="2782"/>
      <c r="S14" s="2782"/>
      <c r="T14" s="2782"/>
      <c r="U14" s="2782"/>
      <c r="V14" s="3677" t="s">
        <v>2306</v>
      </c>
      <c r="W14" s="3678"/>
      <c r="X14" s="3679"/>
      <c r="Y14" s="3251"/>
      <c r="Z14" s="2782"/>
      <c r="AA14" s="2782"/>
      <c r="AB14" s="1436" t="s">
        <v>2283</v>
      </c>
      <c r="AC14" s="1412"/>
      <c r="AD14" s="1413"/>
      <c r="AE14" s="2782"/>
      <c r="AF14" s="2782"/>
      <c r="AG14" s="3685"/>
      <c r="AH14" s="3686"/>
    </row>
    <row r="15" spans="1:34" ht="13" customHeight="1" x14ac:dyDescent="0.25">
      <c r="A15" s="3658"/>
      <c r="B15" s="3330"/>
      <c r="C15" s="3665"/>
      <c r="D15" s="3677" t="s">
        <v>2307</v>
      </c>
      <c r="E15" s="3678"/>
      <c r="F15" s="3679"/>
      <c r="G15" s="3677" t="s">
        <v>2307</v>
      </c>
      <c r="H15" s="3678"/>
      <c r="I15" s="3679"/>
      <c r="J15" s="2782"/>
      <c r="K15" s="3677" t="s">
        <v>2307</v>
      </c>
      <c r="L15" s="3678"/>
      <c r="M15" s="3678"/>
      <c r="N15" s="3679"/>
      <c r="O15" s="2782"/>
      <c r="P15" s="3596"/>
      <c r="Q15" s="3693"/>
      <c r="R15" s="2782"/>
      <c r="S15" s="2782"/>
      <c r="T15" s="2782"/>
      <c r="U15" s="2782"/>
      <c r="V15" s="3680"/>
      <c r="W15" s="3681"/>
      <c r="X15" s="3682"/>
      <c r="Y15" s="3251"/>
      <c r="Z15" s="2782"/>
      <c r="AA15" s="2782"/>
      <c r="AB15" s="3677" t="s">
        <v>2284</v>
      </c>
      <c r="AC15" s="3678"/>
      <c r="AD15" s="3679"/>
      <c r="AE15" s="2782"/>
      <c r="AF15" s="2782"/>
      <c r="AG15" s="3685"/>
      <c r="AH15" s="3686"/>
    </row>
    <row r="16" spans="1:34" x14ac:dyDescent="0.25">
      <c r="A16" s="3658"/>
      <c r="B16" s="3330"/>
      <c r="C16" s="3665"/>
      <c r="D16" s="3680"/>
      <c r="E16" s="3681"/>
      <c r="F16" s="3682"/>
      <c r="G16" s="3680"/>
      <c r="H16" s="3681"/>
      <c r="I16" s="3682"/>
      <c r="J16" s="2843"/>
      <c r="K16" s="3680"/>
      <c r="L16" s="3681"/>
      <c r="M16" s="3681"/>
      <c r="N16" s="3682"/>
      <c r="O16" s="2843"/>
      <c r="P16" s="3597"/>
      <c r="Q16" s="3693"/>
      <c r="R16" s="2843"/>
      <c r="S16" s="2843"/>
      <c r="T16" s="2843"/>
      <c r="U16" s="2843"/>
      <c r="V16" s="1414"/>
      <c r="W16" s="1415"/>
      <c r="X16" s="1416"/>
      <c r="Y16" s="3611"/>
      <c r="Z16" s="2843"/>
      <c r="AA16" s="2843"/>
      <c r="AB16" s="3680"/>
      <c r="AC16" s="3681"/>
      <c r="AD16" s="3682"/>
      <c r="AE16" s="2843"/>
      <c r="AF16" s="2843"/>
      <c r="AG16" s="3687"/>
      <c r="AH16" s="3688"/>
    </row>
    <row r="17" spans="1:34" ht="60.75" customHeight="1" x14ac:dyDescent="0.3">
      <c r="A17" s="3658"/>
      <c r="B17" s="3331"/>
      <c r="C17" s="3666"/>
      <c r="D17" s="2522" t="s">
        <v>2308</v>
      </c>
      <c r="E17" s="2522" t="s">
        <v>2287</v>
      </c>
      <c r="F17" s="2522" t="s">
        <v>2289</v>
      </c>
      <c r="G17" s="2522" t="s">
        <v>2308</v>
      </c>
      <c r="H17" s="2522" t="s">
        <v>2287</v>
      </c>
      <c r="I17" s="2522" t="s">
        <v>2289</v>
      </c>
      <c r="J17" s="2522"/>
      <c r="K17" s="1887" t="s">
        <v>2308</v>
      </c>
      <c r="L17" s="1887" t="s">
        <v>2287</v>
      </c>
      <c r="M17" s="1887" t="s">
        <v>2288</v>
      </c>
      <c r="N17" s="1887" t="s">
        <v>2289</v>
      </c>
      <c r="O17" s="817"/>
      <c r="P17" s="2522"/>
      <c r="Q17" s="2522"/>
      <c r="R17" s="2522"/>
      <c r="S17" s="2522" t="s">
        <v>2309</v>
      </c>
      <c r="T17" s="2522"/>
      <c r="U17" s="2522"/>
      <c r="V17" s="2522" t="s">
        <v>2308</v>
      </c>
      <c r="W17" s="2522" t="s">
        <v>2287</v>
      </c>
      <c r="X17" s="2522" t="s">
        <v>2310</v>
      </c>
      <c r="Y17" s="2522"/>
      <c r="Z17" s="2522"/>
      <c r="AA17" s="2522"/>
      <c r="AB17" s="2522" t="s">
        <v>2308</v>
      </c>
      <c r="AC17" s="2522" t="s">
        <v>2287</v>
      </c>
      <c r="AD17" s="2522" t="s">
        <v>2289</v>
      </c>
      <c r="AE17" s="2522" t="s">
        <v>2309</v>
      </c>
      <c r="AF17" s="814"/>
      <c r="AG17" s="2522" t="s">
        <v>2311</v>
      </c>
      <c r="AH17" s="2522" t="s">
        <v>2312</v>
      </c>
    </row>
    <row r="18" spans="1:34" x14ac:dyDescent="0.25">
      <c r="A18" s="3659"/>
      <c r="B18" s="890" t="s">
        <v>2313</v>
      </c>
      <c r="C18" s="892" t="s">
        <v>346</v>
      </c>
      <c r="D18" s="2522" t="s">
        <v>141</v>
      </c>
      <c r="E18" s="2522" t="s">
        <v>346</v>
      </c>
      <c r="F18" s="2522" t="s">
        <v>346</v>
      </c>
      <c r="G18" s="2522" t="s">
        <v>141</v>
      </c>
      <c r="H18" s="2522"/>
      <c r="I18" s="2522" t="s">
        <v>346</v>
      </c>
      <c r="J18" s="2522" t="s">
        <v>346</v>
      </c>
      <c r="K18" s="1887" t="s">
        <v>141</v>
      </c>
      <c r="L18" s="1887" t="s">
        <v>346</v>
      </c>
      <c r="M18" s="1887" t="s">
        <v>141</v>
      </c>
      <c r="N18" s="1887" t="s">
        <v>346</v>
      </c>
      <c r="O18" s="2522" t="s">
        <v>947</v>
      </c>
      <c r="P18" s="2522" t="s">
        <v>170</v>
      </c>
      <c r="Q18" s="2522" t="s">
        <v>346</v>
      </c>
      <c r="R18" s="2522" t="s">
        <v>346</v>
      </c>
      <c r="S18" s="2522" t="s">
        <v>141</v>
      </c>
      <c r="T18" s="2522" t="s">
        <v>346</v>
      </c>
      <c r="U18" s="2522" t="s">
        <v>346</v>
      </c>
      <c r="V18" s="2522" t="s">
        <v>141</v>
      </c>
      <c r="W18" s="2522" t="s">
        <v>346</v>
      </c>
      <c r="X18" s="2522" t="s">
        <v>346</v>
      </c>
      <c r="Y18" s="2522" t="s">
        <v>346</v>
      </c>
      <c r="Z18" s="2522" t="s">
        <v>346</v>
      </c>
      <c r="AA18" s="2522" t="s">
        <v>346</v>
      </c>
      <c r="AB18" s="2522" t="s">
        <v>141</v>
      </c>
      <c r="AC18" s="2522"/>
      <c r="AD18" s="2522" t="s">
        <v>346</v>
      </c>
      <c r="AE18" s="2522" t="s">
        <v>141</v>
      </c>
      <c r="AF18" s="2522" t="s">
        <v>346</v>
      </c>
      <c r="AG18" s="2522" t="s">
        <v>346</v>
      </c>
      <c r="AH18" s="2522" t="s">
        <v>346</v>
      </c>
    </row>
    <row r="19" spans="1:34" ht="17.5" customHeight="1" x14ac:dyDescent="0.25">
      <c r="A19" s="1482" t="s">
        <v>680</v>
      </c>
      <c r="B19" s="140"/>
      <c r="C19" s="895"/>
      <c r="D19" s="142"/>
      <c r="E19" s="142"/>
      <c r="F19" s="142"/>
      <c r="G19" s="142"/>
      <c r="H19" s="142"/>
      <c r="I19" s="142"/>
      <c r="J19" s="142"/>
      <c r="K19" s="1888"/>
      <c r="L19" s="1888"/>
      <c r="M19" s="1888"/>
      <c r="N19" s="1888"/>
      <c r="O19" s="2542"/>
      <c r="P19" s="142"/>
      <c r="Q19" s="142"/>
      <c r="R19" s="142"/>
      <c r="S19" s="142"/>
      <c r="T19" s="142"/>
      <c r="U19" s="142"/>
      <c r="V19" s="142"/>
      <c r="W19" s="142"/>
      <c r="X19" s="142"/>
      <c r="Y19" s="142"/>
      <c r="Z19" s="142"/>
      <c r="AA19" s="142"/>
      <c r="AB19" s="142"/>
      <c r="AC19" s="142"/>
      <c r="AD19" s="142"/>
      <c r="AE19" s="142"/>
      <c r="AF19" s="2542"/>
      <c r="AG19" s="142"/>
      <c r="AH19" s="142"/>
    </row>
    <row r="20" spans="1:34" ht="17.5" customHeight="1" x14ac:dyDescent="0.25">
      <c r="A20" s="1482" t="s">
        <v>681</v>
      </c>
      <c r="B20" s="140"/>
      <c r="C20" s="896"/>
      <c r="D20" s="142"/>
      <c r="E20" s="142"/>
      <c r="F20" s="142"/>
      <c r="G20" s="142"/>
      <c r="H20" s="142"/>
      <c r="I20" s="142"/>
      <c r="J20" s="142"/>
      <c r="K20" s="1888"/>
      <c r="L20" s="1888"/>
      <c r="M20" s="1888"/>
      <c r="N20" s="1888"/>
      <c r="O20" s="2542"/>
      <c r="P20" s="142"/>
      <c r="Q20" s="142"/>
      <c r="R20" s="142"/>
      <c r="S20" s="142"/>
      <c r="T20" s="142"/>
      <c r="U20" s="142"/>
      <c r="V20" s="142"/>
      <c r="W20" s="142"/>
      <c r="X20" s="142"/>
      <c r="Y20" s="142"/>
      <c r="Z20" s="142"/>
      <c r="AA20" s="142"/>
      <c r="AB20" s="142"/>
      <c r="AC20" s="142"/>
      <c r="AD20" s="142"/>
      <c r="AE20" s="142"/>
      <c r="AF20" s="2542"/>
      <c r="AG20" s="142"/>
      <c r="AH20" s="142"/>
    </row>
    <row r="21" spans="1:34" ht="17.5" customHeight="1" x14ac:dyDescent="0.25">
      <c r="A21" s="1482" t="s">
        <v>1235</v>
      </c>
      <c r="B21" s="140"/>
      <c r="C21" s="896"/>
      <c r="D21" s="142"/>
      <c r="E21" s="142"/>
      <c r="F21" s="142"/>
      <c r="G21" s="142"/>
      <c r="H21" s="142"/>
      <c r="I21" s="142"/>
      <c r="J21" s="142"/>
      <c r="K21" s="1888"/>
      <c r="L21" s="1888"/>
      <c r="M21" s="1888"/>
      <c r="N21" s="1888"/>
      <c r="O21" s="2542"/>
      <c r="P21" s="142"/>
      <c r="Q21" s="142"/>
      <c r="R21" s="142"/>
      <c r="S21" s="142"/>
      <c r="T21" s="142"/>
      <c r="U21" s="142"/>
      <c r="V21" s="142"/>
      <c r="W21" s="142"/>
      <c r="X21" s="142"/>
      <c r="Y21" s="142"/>
      <c r="Z21" s="142"/>
      <c r="AA21" s="142"/>
      <c r="AB21" s="142"/>
      <c r="AC21" s="142"/>
      <c r="AD21" s="142"/>
      <c r="AE21" s="142"/>
      <c r="AF21" s="2542"/>
      <c r="AG21" s="142"/>
      <c r="AH21" s="142"/>
    </row>
    <row r="22" spans="1:34" ht="17.5" customHeight="1" x14ac:dyDescent="0.25">
      <c r="A22" s="1482" t="s">
        <v>1237</v>
      </c>
      <c r="B22" s="140"/>
      <c r="C22" s="896"/>
      <c r="D22" s="142"/>
      <c r="E22" s="142"/>
      <c r="F22" s="142"/>
      <c r="G22" s="142"/>
      <c r="H22" s="142"/>
      <c r="I22" s="142"/>
      <c r="J22" s="142"/>
      <c r="K22" s="1888"/>
      <c r="L22" s="1888"/>
      <c r="M22" s="1888"/>
      <c r="N22" s="1888"/>
      <c r="O22" s="2542"/>
      <c r="P22" s="142"/>
      <c r="Q22" s="142"/>
      <c r="R22" s="142"/>
      <c r="S22" s="142"/>
      <c r="T22" s="142"/>
      <c r="U22" s="142"/>
      <c r="V22" s="142"/>
      <c r="W22" s="142"/>
      <c r="X22" s="142"/>
      <c r="Y22" s="142"/>
      <c r="Z22" s="142"/>
      <c r="AA22" s="142"/>
      <c r="AB22" s="142"/>
      <c r="AC22" s="142"/>
      <c r="AD22" s="142"/>
      <c r="AE22" s="142"/>
      <c r="AF22" s="2542"/>
      <c r="AG22" s="142"/>
      <c r="AH22" s="142"/>
    </row>
    <row r="23" spans="1:34" ht="17.5" customHeight="1" x14ac:dyDescent="0.25">
      <c r="A23" s="1482" t="s">
        <v>1239</v>
      </c>
      <c r="B23" s="140"/>
      <c r="C23" s="896"/>
      <c r="D23" s="142"/>
      <c r="E23" s="142"/>
      <c r="F23" s="142"/>
      <c r="G23" s="142"/>
      <c r="H23" s="142"/>
      <c r="I23" s="142"/>
      <c r="J23" s="142"/>
      <c r="K23" s="1888"/>
      <c r="L23" s="1888"/>
      <c r="M23" s="1888"/>
      <c r="N23" s="1888"/>
      <c r="O23" s="2542"/>
      <c r="P23" s="142"/>
      <c r="Q23" s="142"/>
      <c r="R23" s="142"/>
      <c r="S23" s="142"/>
      <c r="T23" s="142"/>
      <c r="U23" s="142"/>
      <c r="V23" s="142"/>
      <c r="W23" s="142"/>
      <c r="X23" s="142"/>
      <c r="Y23" s="142"/>
      <c r="Z23" s="142"/>
      <c r="AA23" s="142"/>
      <c r="AB23" s="142"/>
      <c r="AC23" s="142"/>
      <c r="AD23" s="142"/>
      <c r="AE23" s="142"/>
      <c r="AF23" s="2542"/>
      <c r="AG23" s="142"/>
      <c r="AH23" s="142"/>
    </row>
    <row r="24" spans="1:34" ht="17.5" customHeight="1" x14ac:dyDescent="0.25">
      <c r="A24" s="1482" t="s">
        <v>1241</v>
      </c>
      <c r="B24" s="140"/>
      <c r="C24" s="896"/>
      <c r="D24" s="142"/>
      <c r="E24" s="142"/>
      <c r="F24" s="142"/>
      <c r="G24" s="142"/>
      <c r="H24" s="142"/>
      <c r="I24" s="142"/>
      <c r="J24" s="142"/>
      <c r="K24" s="1888"/>
      <c r="L24" s="1888"/>
      <c r="M24" s="1888"/>
      <c r="N24" s="1888"/>
      <c r="O24" s="2542"/>
      <c r="P24" s="142"/>
      <c r="Q24" s="142"/>
      <c r="R24" s="142"/>
      <c r="S24" s="142"/>
      <c r="T24" s="142"/>
      <c r="U24" s="142"/>
      <c r="V24" s="142"/>
      <c r="W24" s="142"/>
      <c r="X24" s="142"/>
      <c r="Y24" s="142"/>
      <c r="Z24" s="142"/>
      <c r="AA24" s="142"/>
      <c r="AB24" s="142"/>
      <c r="AC24" s="142"/>
      <c r="AD24" s="142"/>
      <c r="AE24" s="142"/>
      <c r="AF24" s="2542"/>
      <c r="AG24" s="142"/>
      <c r="AH24" s="142"/>
    </row>
    <row r="25" spans="1:34" ht="17.5" customHeight="1" x14ac:dyDescent="0.25">
      <c r="A25" s="1482" t="s">
        <v>1243</v>
      </c>
      <c r="B25" s="140"/>
      <c r="C25" s="896"/>
      <c r="D25" s="142"/>
      <c r="E25" s="142"/>
      <c r="F25" s="142"/>
      <c r="G25" s="142"/>
      <c r="H25" s="142"/>
      <c r="I25" s="142"/>
      <c r="J25" s="142"/>
      <c r="K25" s="1888"/>
      <c r="L25" s="1888"/>
      <c r="M25" s="1888"/>
      <c r="N25" s="1888"/>
      <c r="O25" s="2542"/>
      <c r="P25" s="142"/>
      <c r="Q25" s="142"/>
      <c r="R25" s="1884"/>
      <c r="S25" s="142"/>
      <c r="T25" s="142"/>
      <c r="U25" s="142"/>
      <c r="V25" s="142"/>
      <c r="W25" s="142"/>
      <c r="X25" s="142"/>
      <c r="Y25" s="142"/>
      <c r="Z25" s="142"/>
      <c r="AA25" s="142"/>
      <c r="AB25" s="142"/>
      <c r="AC25" s="142"/>
      <c r="AD25" s="142"/>
      <c r="AE25" s="142"/>
      <c r="AF25" s="2542"/>
      <c r="AG25" s="142"/>
      <c r="AH25" s="142"/>
    </row>
    <row r="26" spans="1:34" ht="17.5" customHeight="1" x14ac:dyDescent="0.25">
      <c r="A26" s="1482" t="s">
        <v>1245</v>
      </c>
      <c r="B26" s="140"/>
      <c r="C26" s="896"/>
      <c r="D26" s="142"/>
      <c r="E26" s="142"/>
      <c r="F26" s="142"/>
      <c r="G26" s="142"/>
      <c r="H26" s="142"/>
      <c r="I26" s="142"/>
      <c r="J26" s="142"/>
      <c r="K26" s="1888"/>
      <c r="L26" s="1888"/>
      <c r="M26" s="1888"/>
      <c r="N26" s="1888"/>
      <c r="O26" s="2542"/>
      <c r="P26" s="142"/>
      <c r="Q26" s="142"/>
      <c r="R26" s="142"/>
      <c r="S26" s="142"/>
      <c r="T26" s="142"/>
      <c r="U26" s="142"/>
      <c r="V26" s="142"/>
      <c r="W26" s="142"/>
      <c r="X26" s="142"/>
      <c r="Y26" s="142"/>
      <c r="Z26" s="142"/>
      <c r="AA26" s="142"/>
      <c r="AB26" s="142"/>
      <c r="AC26" s="142"/>
      <c r="AD26" s="142"/>
      <c r="AE26" s="142"/>
      <c r="AF26" s="2542"/>
      <c r="AG26" s="142"/>
      <c r="AH26" s="142"/>
    </row>
    <row r="27" spans="1:34" ht="17.5" customHeight="1" x14ac:dyDescent="0.25">
      <c r="A27" s="1482" t="s">
        <v>1247</v>
      </c>
      <c r="B27" s="140"/>
      <c r="C27" s="896"/>
      <c r="D27" s="142"/>
      <c r="E27" s="142"/>
      <c r="F27" s="142"/>
      <c r="G27" s="142"/>
      <c r="H27" s="142"/>
      <c r="I27" s="142"/>
      <c r="J27" s="142"/>
      <c r="K27" s="1888"/>
      <c r="L27" s="1888"/>
      <c r="M27" s="1888"/>
      <c r="N27" s="1888"/>
      <c r="O27" s="2542"/>
      <c r="P27" s="142"/>
      <c r="Q27" s="142"/>
      <c r="R27" s="142"/>
      <c r="S27" s="142"/>
      <c r="T27" s="142"/>
      <c r="U27" s="142"/>
      <c r="V27" s="142"/>
      <c r="W27" s="142"/>
      <c r="X27" s="142"/>
      <c r="Y27" s="142"/>
      <c r="Z27" s="142"/>
      <c r="AA27" s="142"/>
      <c r="AB27" s="142"/>
      <c r="AC27" s="142"/>
      <c r="AD27" s="142"/>
      <c r="AE27" s="142"/>
      <c r="AF27" s="2542"/>
      <c r="AG27" s="142"/>
      <c r="AH27" s="142"/>
    </row>
    <row r="28" spans="1:34" ht="17.5" customHeight="1" x14ac:dyDescent="0.25">
      <c r="A28" s="1482" t="s">
        <v>1249</v>
      </c>
      <c r="B28" s="140"/>
      <c r="C28" s="896"/>
      <c r="D28" s="142"/>
      <c r="E28" s="142"/>
      <c r="F28" s="142"/>
      <c r="G28" s="142"/>
      <c r="H28" s="142"/>
      <c r="I28" s="142"/>
      <c r="J28" s="142"/>
      <c r="K28" s="1888"/>
      <c r="L28" s="1888"/>
      <c r="M28" s="1888"/>
      <c r="N28" s="1888"/>
      <c r="O28" s="2542"/>
      <c r="P28" s="142"/>
      <c r="Q28" s="142"/>
      <c r="R28" s="142"/>
      <c r="S28" s="142"/>
      <c r="T28" s="142"/>
      <c r="U28" s="142"/>
      <c r="V28" s="142"/>
      <c r="W28" s="142"/>
      <c r="X28" s="142"/>
      <c r="Y28" s="142"/>
      <c r="Z28" s="142"/>
      <c r="AA28" s="142"/>
      <c r="AB28" s="142"/>
      <c r="AC28" s="142"/>
      <c r="AD28" s="142"/>
      <c r="AE28" s="142"/>
      <c r="AF28" s="2542"/>
      <c r="AG28" s="142"/>
      <c r="AH28" s="142"/>
    </row>
    <row r="29" spans="1:34" ht="17.5" customHeight="1" x14ac:dyDescent="0.25">
      <c r="A29" s="1482" t="s">
        <v>1251</v>
      </c>
      <c r="B29" s="140"/>
      <c r="C29" s="898"/>
      <c r="D29" s="142"/>
      <c r="E29" s="142"/>
      <c r="F29" s="142"/>
      <c r="G29" s="142"/>
      <c r="H29" s="142"/>
      <c r="I29" s="142"/>
      <c r="J29" s="142"/>
      <c r="K29" s="1888"/>
      <c r="L29" s="1888"/>
      <c r="M29" s="1888"/>
      <c r="N29" s="1888"/>
      <c r="O29" s="2534"/>
      <c r="P29" s="142"/>
      <c r="Q29" s="142"/>
      <c r="R29" s="142"/>
      <c r="S29" s="142"/>
      <c r="T29" s="142"/>
      <c r="U29" s="142"/>
      <c r="V29" s="142"/>
      <c r="W29" s="142"/>
      <c r="X29" s="142"/>
      <c r="Y29" s="142"/>
      <c r="Z29" s="142"/>
      <c r="AA29" s="142"/>
      <c r="AB29" s="142"/>
      <c r="AC29" s="142"/>
      <c r="AD29" s="142"/>
      <c r="AE29" s="142"/>
      <c r="AF29" s="2534"/>
      <c r="AG29" s="142"/>
      <c r="AH29" s="142"/>
    </row>
    <row r="30" spans="1:34" ht="17.5" customHeight="1" x14ac:dyDescent="0.25">
      <c r="A30" s="1482" t="s">
        <v>1253</v>
      </c>
      <c r="B30" s="140"/>
      <c r="C30" s="898"/>
      <c r="D30" s="142"/>
      <c r="E30" s="142"/>
      <c r="F30" s="142"/>
      <c r="G30" s="142"/>
      <c r="H30" s="142"/>
      <c r="I30" s="142"/>
      <c r="J30" s="142"/>
      <c r="K30" s="1888"/>
      <c r="L30" s="1888"/>
      <c r="M30" s="1888"/>
      <c r="N30" s="1888"/>
      <c r="O30" s="2534"/>
      <c r="P30" s="142"/>
      <c r="Q30" s="142"/>
      <c r="R30" s="142"/>
      <c r="S30" s="142"/>
      <c r="T30" s="142"/>
      <c r="U30" s="142"/>
      <c r="V30" s="142"/>
      <c r="W30" s="142"/>
      <c r="X30" s="142"/>
      <c r="Y30" s="142"/>
      <c r="Z30" s="142"/>
      <c r="AA30" s="142"/>
      <c r="AB30" s="142"/>
      <c r="AC30" s="142"/>
      <c r="AD30" s="142"/>
      <c r="AE30" s="142"/>
      <c r="AF30" s="2534"/>
      <c r="AG30" s="142"/>
      <c r="AH30" s="142"/>
    </row>
    <row r="31" spans="1:34" ht="17.5" customHeight="1" x14ac:dyDescent="0.25">
      <c r="A31" s="1482" t="s">
        <v>1255</v>
      </c>
      <c r="B31" s="140"/>
      <c r="C31" s="898"/>
      <c r="D31" s="142"/>
      <c r="E31" s="142"/>
      <c r="F31" s="142"/>
      <c r="G31" s="142"/>
      <c r="H31" s="142"/>
      <c r="I31" s="142"/>
      <c r="J31" s="142"/>
      <c r="K31" s="1888"/>
      <c r="L31" s="1888"/>
      <c r="M31" s="1888"/>
      <c r="N31" s="1888"/>
      <c r="O31" s="2534"/>
      <c r="P31" s="142"/>
      <c r="Q31" s="142"/>
      <c r="R31" s="142"/>
      <c r="S31" s="142"/>
      <c r="T31" s="142"/>
      <c r="U31" s="142"/>
      <c r="V31" s="142"/>
      <c r="W31" s="142"/>
      <c r="X31" s="142"/>
      <c r="Y31" s="142"/>
      <c r="Z31" s="142"/>
      <c r="AA31" s="142"/>
      <c r="AB31" s="142"/>
      <c r="AC31" s="142"/>
      <c r="AD31" s="142"/>
      <c r="AE31" s="142"/>
      <c r="AF31" s="2534"/>
      <c r="AG31" s="142"/>
      <c r="AH31" s="142"/>
    </row>
    <row r="32" spans="1:34" ht="17.5" customHeight="1" x14ac:dyDescent="0.25">
      <c r="A32" s="1482" t="s">
        <v>2224</v>
      </c>
      <c r="B32" s="140"/>
      <c r="C32" s="898"/>
      <c r="D32" s="142"/>
      <c r="E32" s="142"/>
      <c r="F32" s="142"/>
      <c r="G32" s="142"/>
      <c r="H32" s="142"/>
      <c r="I32" s="142"/>
      <c r="J32" s="142"/>
      <c r="K32" s="1888"/>
      <c r="L32" s="1888"/>
      <c r="M32" s="1888"/>
      <c r="N32" s="1888"/>
      <c r="O32" s="2534"/>
      <c r="P32" s="142"/>
      <c r="Q32" s="142"/>
      <c r="R32" s="142"/>
      <c r="S32" s="142"/>
      <c r="T32" s="142"/>
      <c r="U32" s="142"/>
      <c r="V32" s="142"/>
      <c r="W32" s="142"/>
      <c r="X32" s="142"/>
      <c r="Y32" s="142"/>
      <c r="Z32" s="142"/>
      <c r="AA32" s="142"/>
      <c r="AB32" s="142"/>
      <c r="AC32" s="142"/>
      <c r="AD32" s="142"/>
      <c r="AE32" s="142"/>
      <c r="AF32" s="2534"/>
      <c r="AG32" s="142"/>
      <c r="AH32" s="142"/>
    </row>
    <row r="33" spans="1:34" ht="17.5" customHeight="1" x14ac:dyDescent="0.25">
      <c r="A33" s="1482" t="s">
        <v>2225</v>
      </c>
      <c r="B33" s="140"/>
      <c r="C33" s="898"/>
      <c r="D33" s="142"/>
      <c r="E33" s="142"/>
      <c r="F33" s="142"/>
      <c r="G33" s="142"/>
      <c r="H33" s="142"/>
      <c r="I33" s="142"/>
      <c r="J33" s="142"/>
      <c r="K33" s="1888"/>
      <c r="L33" s="1888"/>
      <c r="M33" s="1888"/>
      <c r="N33" s="1888"/>
      <c r="O33" s="2534"/>
      <c r="P33" s="142"/>
      <c r="Q33" s="142"/>
      <c r="R33" s="142"/>
      <c r="S33" s="142"/>
      <c r="T33" s="142"/>
      <c r="U33" s="142"/>
      <c r="V33" s="142"/>
      <c r="W33" s="142"/>
      <c r="X33" s="142"/>
      <c r="Y33" s="142"/>
      <c r="Z33" s="142"/>
      <c r="AA33" s="142"/>
      <c r="AB33" s="142"/>
      <c r="AC33" s="142"/>
      <c r="AD33" s="142"/>
      <c r="AE33" s="142"/>
      <c r="AF33" s="2534"/>
      <c r="AG33" s="142"/>
      <c r="AH33" s="142"/>
    </row>
    <row r="34" spans="1:34" x14ac:dyDescent="0.25">
      <c r="B34">
        <v>0</v>
      </c>
      <c r="C34" s="885">
        <v>1</v>
      </c>
      <c r="D34" s="975">
        <v>2</v>
      </c>
      <c r="G34" s="885">
        <v>3</v>
      </c>
      <c r="J34" s="886">
        <f>G34+1</f>
        <v>4</v>
      </c>
      <c r="K34" s="886">
        <f>J34+1</f>
        <v>5</v>
      </c>
      <c r="L34" s="1744"/>
      <c r="M34" s="1744"/>
      <c r="N34" s="1744"/>
      <c r="O34" s="1744">
        <f>K34+1</f>
        <v>6</v>
      </c>
      <c r="P34" s="823">
        <f t="shared" ref="P34:V34" si="1">O34+1</f>
        <v>7</v>
      </c>
      <c r="Q34" s="823">
        <f t="shared" si="1"/>
        <v>8</v>
      </c>
      <c r="R34" s="823">
        <f t="shared" si="1"/>
        <v>9</v>
      </c>
      <c r="S34" s="823">
        <f t="shared" si="1"/>
        <v>10</v>
      </c>
      <c r="T34" s="823">
        <f t="shared" si="1"/>
        <v>11</v>
      </c>
      <c r="U34" s="823">
        <f t="shared" si="1"/>
        <v>12</v>
      </c>
      <c r="V34" s="823">
        <f t="shared" si="1"/>
        <v>13</v>
      </c>
      <c r="Y34" s="823">
        <f>V34+1</f>
        <v>14</v>
      </c>
      <c r="Z34" s="823">
        <f>Y34+1</f>
        <v>15</v>
      </c>
      <c r="AA34" s="823">
        <f>Z34+1</f>
        <v>16</v>
      </c>
      <c r="AB34" s="823">
        <f>AA34+1</f>
        <v>17</v>
      </c>
      <c r="AE34" s="823">
        <f>AB34+1</f>
        <v>18</v>
      </c>
      <c r="AF34" s="823">
        <f>AE34+1</f>
        <v>19</v>
      </c>
      <c r="AG34" s="823">
        <f>AF34+1</f>
        <v>20</v>
      </c>
    </row>
  </sheetData>
  <mergeCells count="34">
    <mergeCell ref="B1:B3"/>
    <mergeCell ref="D5:F9"/>
    <mergeCell ref="G5:I9"/>
    <mergeCell ref="D15:F16"/>
    <mergeCell ref="G15:I16"/>
    <mergeCell ref="C5:C17"/>
    <mergeCell ref="V5:X9"/>
    <mergeCell ref="A4:A18"/>
    <mergeCell ref="D4:F4"/>
    <mergeCell ref="J5:J16"/>
    <mergeCell ref="K5:N9"/>
    <mergeCell ref="O5:O16"/>
    <mergeCell ref="Q5:Q16"/>
    <mergeCell ref="T5:T16"/>
    <mergeCell ref="K15:N16"/>
    <mergeCell ref="R5:R16"/>
    <mergeCell ref="S5:S16"/>
    <mergeCell ref="U5:U16"/>
    <mergeCell ref="AE5:AE16"/>
    <mergeCell ref="AF5:AF16"/>
    <mergeCell ref="AG5:AH16"/>
    <mergeCell ref="B8:B17"/>
    <mergeCell ref="D11:F13"/>
    <mergeCell ref="G11:I13"/>
    <mergeCell ref="K11:N13"/>
    <mergeCell ref="V11:X12"/>
    <mergeCell ref="AB11:AD13"/>
    <mergeCell ref="P5:P16"/>
    <mergeCell ref="Y5:Y16"/>
    <mergeCell ref="Z5:Z16"/>
    <mergeCell ref="AA5:AA16"/>
    <mergeCell ref="AB5:AD9"/>
    <mergeCell ref="V14:X15"/>
    <mergeCell ref="AB15:AD16"/>
  </mergeCells>
  <pageMargins left="0.314" right="0.314" top="0.11799999999999999" bottom="0.27500000000000002" header="0.157" footer="0.11799999999999999"/>
  <pageSetup scale="89" firstPageNumber="78" orientation="landscape" r:id="rId1"/>
  <headerFooter>
    <oddFooter>&amp;C&amp;P</oddFooter>
  </headerFooter>
  <colBreaks count="3" manualBreakCount="3">
    <brk id="3" max="32" man="1"/>
    <brk id="17" max="32" man="1"/>
    <brk id="24" max="32"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Q21"/>
  <sheetViews>
    <sheetView view="pageBreakPreview" topLeftCell="BA4" zoomScale="120" zoomScaleNormal="120" zoomScaleSheetLayoutView="120" workbookViewId="0">
      <selection activeCell="BE7" sqref="BE7:BF7"/>
    </sheetView>
  </sheetViews>
  <sheetFormatPr defaultColWidth="8.81640625" defaultRowHeight="14" x14ac:dyDescent="0.25"/>
  <cols>
    <col min="1" max="1" width="21.81640625" style="899" bestFit="1" customWidth="1"/>
    <col min="2" max="2" width="5" style="899" customWidth="1"/>
    <col min="3" max="3" width="12.453125" style="899" customWidth="1"/>
    <col min="4" max="4" width="6.453125" style="1064" customWidth="1"/>
    <col min="5" max="5" width="9" style="899" customWidth="1"/>
    <col min="6" max="6" width="9.26953125" style="899" customWidth="1"/>
    <col min="7" max="21" width="5" style="899" customWidth="1"/>
    <col min="22" max="22" width="10.1796875" style="899" customWidth="1"/>
    <col min="23" max="23" width="16.1796875" style="899" customWidth="1"/>
    <col min="24" max="24" width="13" style="899" customWidth="1"/>
    <col min="25" max="25" width="11.81640625" customWidth="1"/>
    <col min="26" max="26" width="10.453125" style="899" customWidth="1"/>
    <col min="27" max="27" width="16.1796875" style="899" customWidth="1"/>
    <col min="28" max="28" width="17.7265625" style="899" customWidth="1"/>
    <col min="29" max="30" width="7.81640625" style="899" bestFit="1" customWidth="1"/>
    <col min="31" max="32" width="11.453125" customWidth="1"/>
    <col min="33" max="36" width="6.453125" bestFit="1" customWidth="1"/>
    <col min="37" max="38" width="7.7265625" bestFit="1" customWidth="1"/>
    <col min="39" max="39" width="6.453125" bestFit="1" customWidth="1"/>
    <col min="40" max="40" width="7.453125" bestFit="1" customWidth="1"/>
    <col min="41" max="41" width="6.453125" bestFit="1" customWidth="1"/>
    <col min="42" max="42" width="13.7265625" customWidth="1"/>
    <col min="43" max="43" width="13.7265625" style="899" customWidth="1"/>
    <col min="44" max="49" width="13.7265625" customWidth="1"/>
    <col min="50" max="50" width="11.1796875" customWidth="1"/>
    <col min="51" max="53" width="8.7265625" customWidth="1"/>
    <col min="54" max="54" width="12.1796875" customWidth="1"/>
    <col min="55" max="60" width="8.7265625" customWidth="1"/>
    <col min="61" max="61" width="12" customWidth="1"/>
    <col min="62" max="62" width="7" customWidth="1"/>
    <col min="63" max="63" width="5.1796875" bestFit="1" customWidth="1"/>
    <col min="64" max="64" width="10" customWidth="1"/>
    <col min="65" max="65" width="8.7265625" customWidth="1"/>
    <col min="66" max="67" width="7.1796875" bestFit="1" customWidth="1"/>
    <col min="68" max="68" width="13.7265625" customWidth="1"/>
    <col min="69" max="69" width="7" customWidth="1"/>
    <col min="70" max="70" width="5.1796875" bestFit="1" customWidth="1"/>
    <col min="71" max="71" width="13.7265625" customWidth="1"/>
    <col min="72" max="72" width="9.7265625" customWidth="1"/>
    <col min="73" max="74" width="6.7265625" bestFit="1" customWidth="1"/>
    <col min="75" max="95" width="12.7265625" customWidth="1"/>
  </cols>
  <sheetData>
    <row r="1" spans="1:95" x14ac:dyDescent="0.3">
      <c r="A1" s="849" t="s">
        <v>2314</v>
      </c>
    </row>
    <row r="2" spans="1:95" x14ac:dyDescent="0.25">
      <c r="A2" s="900"/>
      <c r="B2" s="900" t="s">
        <v>2315</v>
      </c>
      <c r="C2" s="901"/>
      <c r="D2" s="1065"/>
      <c r="E2" s="901"/>
      <c r="F2" s="901"/>
      <c r="G2" s="901"/>
      <c r="H2" s="901"/>
      <c r="I2" s="901"/>
      <c r="J2" s="901"/>
      <c r="K2" s="901"/>
      <c r="L2" s="901"/>
      <c r="M2" s="901"/>
      <c r="N2" s="901"/>
      <c r="O2" s="901"/>
      <c r="P2" s="901"/>
      <c r="Q2" s="901"/>
      <c r="R2" s="901"/>
      <c r="S2" s="901"/>
      <c r="T2" s="901"/>
      <c r="U2" s="901"/>
      <c r="V2" s="901"/>
      <c r="W2" s="901"/>
      <c r="X2" s="901"/>
    </row>
    <row r="3" spans="1:95" x14ac:dyDescent="0.25">
      <c r="A3" s="70"/>
      <c r="B3" s="70" t="s">
        <v>2316</v>
      </c>
      <c r="C3" s="576"/>
      <c r="D3" s="70"/>
      <c r="E3" s="576"/>
      <c r="F3" s="576"/>
      <c r="G3" s="576"/>
      <c r="H3" s="576"/>
      <c r="I3" s="576"/>
      <c r="J3" s="576"/>
      <c r="K3" s="576"/>
      <c r="L3" s="576"/>
      <c r="M3" s="576"/>
      <c r="N3" s="576"/>
      <c r="O3" s="576"/>
      <c r="P3" s="576"/>
      <c r="Q3" s="576"/>
      <c r="R3" s="576"/>
      <c r="S3" s="576"/>
      <c r="T3" s="576"/>
      <c r="U3" s="576"/>
      <c r="V3" s="902"/>
      <c r="W3" s="902"/>
      <c r="X3" s="902"/>
    </row>
    <row r="4" spans="1:95" x14ac:dyDescent="0.25">
      <c r="A4" s="70"/>
      <c r="B4" s="70" t="s">
        <v>2317</v>
      </c>
      <c r="C4" s="576"/>
      <c r="D4" s="70"/>
      <c r="E4" s="576"/>
      <c r="F4" s="576"/>
      <c r="G4" s="576"/>
      <c r="H4" s="576"/>
      <c r="I4" s="576"/>
      <c r="J4" s="576"/>
      <c r="K4" s="576"/>
      <c r="L4" s="576"/>
      <c r="M4" s="576"/>
      <c r="N4" s="576"/>
      <c r="O4" s="576"/>
      <c r="P4" s="576"/>
      <c r="Q4" s="576"/>
      <c r="R4" s="576"/>
      <c r="S4" s="576"/>
      <c r="T4" s="576"/>
      <c r="U4" s="576"/>
      <c r="V4" s="902"/>
      <c r="W4" s="902"/>
      <c r="X4" s="902"/>
    </row>
    <row r="5" spans="1:95" x14ac:dyDescent="0.25">
      <c r="A5"/>
      <c r="C5" s="903"/>
      <c r="E5" s="903"/>
      <c r="F5" s="576"/>
      <c r="G5" s="576"/>
      <c r="H5" s="576"/>
      <c r="I5" s="576"/>
      <c r="J5" s="576"/>
      <c r="K5" s="576"/>
      <c r="L5" s="576"/>
      <c r="M5" s="576"/>
      <c r="N5" s="576"/>
      <c r="O5" s="576"/>
      <c r="P5" s="576"/>
      <c r="Q5" s="576"/>
      <c r="R5" s="576"/>
      <c r="S5" s="576"/>
      <c r="T5" s="576"/>
      <c r="U5" s="576"/>
      <c r="V5" s="902"/>
      <c r="W5" s="902"/>
      <c r="X5" s="902"/>
    </row>
    <row r="6" spans="1:95" ht="12.5" x14ac:dyDescent="0.25">
      <c r="A6" s="904">
        <v>17.010000000000002</v>
      </c>
      <c r="B6" s="904">
        <f t="shared" ref="B6:G6" si="0">A6+0.01</f>
        <v>17.020000000000003</v>
      </c>
      <c r="C6" s="1441">
        <f>B6+0.01</f>
        <v>17.030000000000005</v>
      </c>
      <c r="D6" s="1066">
        <f>C6+0.01</f>
        <v>17.040000000000006</v>
      </c>
      <c r="E6" s="904">
        <f>D6+0.01</f>
        <v>17.050000000000008</v>
      </c>
      <c r="F6" s="1441">
        <f t="shared" si="0"/>
        <v>17.060000000000009</v>
      </c>
      <c r="G6" s="3709">
        <f t="shared" si="0"/>
        <v>17.070000000000011</v>
      </c>
      <c r="H6" s="3710"/>
      <c r="I6" s="3710"/>
      <c r="J6" s="3710"/>
      <c r="K6" s="3710"/>
      <c r="L6" s="3710"/>
      <c r="M6" s="3710"/>
      <c r="N6" s="3710"/>
      <c r="O6" s="3710"/>
      <c r="P6" s="3710"/>
      <c r="Q6" s="3710"/>
      <c r="R6" s="3710"/>
      <c r="S6" s="3710"/>
      <c r="T6" s="3710"/>
      <c r="U6" s="3711"/>
      <c r="V6" s="1441">
        <f>G6+0.01</f>
        <v>17.080000000000013</v>
      </c>
      <c r="W6" s="1441">
        <f t="shared" ref="W6:AC6" si="1">V6+0.01</f>
        <v>17.090000000000014</v>
      </c>
      <c r="X6" s="1441">
        <f t="shared" si="1"/>
        <v>17.100000000000016</v>
      </c>
      <c r="Y6" s="1801">
        <f>X6+0.01</f>
        <v>17.110000000000017</v>
      </c>
      <c r="Z6" s="1441">
        <f>Y6+0.01</f>
        <v>17.120000000000019</v>
      </c>
      <c r="AA6" s="1441">
        <f t="shared" si="1"/>
        <v>17.13000000000002</v>
      </c>
      <c r="AB6" s="1441">
        <f t="shared" si="1"/>
        <v>17.140000000000022</v>
      </c>
      <c r="AC6" s="3698">
        <f t="shared" si="1"/>
        <v>17.150000000000023</v>
      </c>
      <c r="AD6" s="3699"/>
      <c r="AE6" s="1441">
        <f>AC6+0.01</f>
        <v>17.160000000000025</v>
      </c>
      <c r="AF6" s="1441">
        <f>AE6+0.01</f>
        <v>17.170000000000027</v>
      </c>
      <c r="AG6" s="3698">
        <f>AF6+0.01</f>
        <v>17.180000000000028</v>
      </c>
      <c r="AH6" s="3701"/>
      <c r="AI6" s="3701"/>
      <c r="AJ6" s="3701"/>
      <c r="AK6" s="3701"/>
      <c r="AL6" s="3701"/>
      <c r="AM6" s="3701"/>
      <c r="AN6" s="3701"/>
      <c r="AO6" s="3699"/>
      <c r="AP6" s="1441">
        <f>AG6+0.01</f>
        <v>17.19000000000003</v>
      </c>
      <c r="AQ6" s="2224">
        <f>AP6+0.01</f>
        <v>17.200000000000031</v>
      </c>
      <c r="AR6" s="1441">
        <f>AQ6+0.01</f>
        <v>17.210000000000033</v>
      </c>
      <c r="AS6" s="3698">
        <f>AR6+0.01</f>
        <v>17.220000000000034</v>
      </c>
      <c r="AT6" s="3699"/>
      <c r="AU6" s="1441">
        <f>AS6+0.01</f>
        <v>17.230000000000036</v>
      </c>
      <c r="AV6" s="3698">
        <f>AU6+0.01</f>
        <v>17.240000000000038</v>
      </c>
      <c r="AW6" s="3699"/>
      <c r="AX6" s="1441">
        <f>AV6+0.01</f>
        <v>17.250000000000039</v>
      </c>
      <c r="AY6" s="1441">
        <f>AX6+0.01</f>
        <v>17.260000000000041</v>
      </c>
      <c r="AZ6" s="3709">
        <f>AY6+0.01</f>
        <v>17.270000000000042</v>
      </c>
      <c r="BA6" s="3710"/>
      <c r="BB6" s="1441">
        <f>AZ6+0.01</f>
        <v>17.280000000000044</v>
      </c>
      <c r="BC6" s="1441">
        <f>BB6+0.01</f>
        <v>17.290000000000045</v>
      </c>
      <c r="BD6" s="2544">
        <f>BC6+0.01</f>
        <v>17.300000000000047</v>
      </c>
      <c r="BE6" s="3700">
        <f>BD6+0.01</f>
        <v>17.310000000000048</v>
      </c>
      <c r="BF6" s="3700"/>
      <c r="BG6" s="3698">
        <f>BE6+0.01</f>
        <v>17.32000000000005</v>
      </c>
      <c r="BH6" s="3701"/>
      <c r="BI6" s="1441">
        <f>BG6+0.01</f>
        <v>17.330000000000052</v>
      </c>
      <c r="BJ6" s="3698">
        <f>BI6+0.01</f>
        <v>17.340000000000053</v>
      </c>
      <c r="BK6" s="3701"/>
      <c r="BL6" s="2545"/>
      <c r="BM6" s="1441">
        <f>BJ6+0.01</f>
        <v>17.350000000000055</v>
      </c>
      <c r="BN6" s="3698">
        <f>BM6+0.01</f>
        <v>17.360000000000056</v>
      </c>
      <c r="BO6" s="3699"/>
      <c r="BP6" s="1441">
        <f>BN6+0.01</f>
        <v>17.370000000000058</v>
      </c>
      <c r="BQ6" s="3698">
        <f>BP6+0.01</f>
        <v>17.380000000000059</v>
      </c>
      <c r="BR6" s="3701"/>
      <c r="BS6" s="1441">
        <f>BQ6+0.01</f>
        <v>17.390000000000061</v>
      </c>
      <c r="BT6" s="1441">
        <f>BS6+0.01</f>
        <v>17.400000000000063</v>
      </c>
      <c r="BU6" s="3698">
        <f>BT6+0.01</f>
        <v>17.410000000000064</v>
      </c>
      <c r="BV6" s="3699"/>
      <c r="BW6" s="1441">
        <f>BU6+0.01</f>
        <v>17.420000000000066</v>
      </c>
      <c r="BX6" s="1441">
        <f>BW6+0.01</f>
        <v>17.430000000000067</v>
      </c>
      <c r="BY6" s="1441">
        <f>BX6+0.01</f>
        <v>17.440000000000069</v>
      </c>
      <c r="BZ6" s="1441">
        <f>BY6+0.01</f>
        <v>17.45000000000007</v>
      </c>
      <c r="CA6" s="1441">
        <f>BZ6+0.01</f>
        <v>17.460000000000072</v>
      </c>
      <c r="CB6" s="3698">
        <f>CA6+0.01</f>
        <v>17.470000000000073</v>
      </c>
      <c r="CC6" s="3699"/>
      <c r="CD6" s="1441">
        <f>CB6+0.01</f>
        <v>17.480000000000075</v>
      </c>
      <c r="CE6" s="1441">
        <f t="shared" ref="CE6:CL6" si="2">CD6+0.01</f>
        <v>17.490000000000077</v>
      </c>
      <c r="CF6" s="1441">
        <f t="shared" si="2"/>
        <v>17.500000000000078</v>
      </c>
      <c r="CG6" s="1441">
        <f t="shared" si="2"/>
        <v>17.51000000000008</v>
      </c>
      <c r="CH6" s="1441">
        <f t="shared" si="2"/>
        <v>17.520000000000081</v>
      </c>
      <c r="CI6" s="1441">
        <f t="shared" si="2"/>
        <v>17.530000000000083</v>
      </c>
      <c r="CJ6" s="1441">
        <f t="shared" si="2"/>
        <v>17.540000000000084</v>
      </c>
      <c r="CK6" s="1441">
        <f t="shared" si="2"/>
        <v>17.550000000000086</v>
      </c>
      <c r="CL6" s="1441">
        <f t="shared" si="2"/>
        <v>17.560000000000088</v>
      </c>
      <c r="CM6" s="1441">
        <f>CL6+0.01</f>
        <v>17.570000000000089</v>
      </c>
      <c r="CN6" s="1441">
        <f>CM6+0.01</f>
        <v>17.580000000000091</v>
      </c>
      <c r="CO6" s="1441">
        <f>CN6+0.01</f>
        <v>17.590000000000092</v>
      </c>
      <c r="CP6" s="1441">
        <f>CO6+0.01</f>
        <v>17.600000000000094</v>
      </c>
      <c r="CQ6" s="1441">
        <f>CP6+0.01</f>
        <v>17.610000000000095</v>
      </c>
    </row>
    <row r="7" spans="1:95" ht="175.5" customHeight="1" x14ac:dyDescent="0.25">
      <c r="A7" s="3706"/>
      <c r="B7" s="3706"/>
      <c r="C7" s="1688" t="s">
        <v>2318</v>
      </c>
      <c r="D7" s="3252" t="s">
        <v>2319</v>
      </c>
      <c r="E7" s="3221" t="str">
        <f>CONCATENATE("Combien de [...] compte-t-on actuellement au total dans le troupeau? (Inscrire 0 si aucun ou dans le cas où tous les animaux ont été tués au cours des 12 derniers mois)
Si 0 ►(",TEXT(V6,"0.00"),")")</f>
        <v>Combien de [...] compte-t-on actuellement au total dans le troupeau? (Inscrire 0 si aucun ou dans le cas où tous les animaux ont été tués au cours des 12 derniers mois)
Si 0 ►(17.08)</v>
      </c>
      <c r="F7" s="2523" t="str">
        <f>CONCATENATE("Combien de [...] appartiennent au ménage lui-même? 
(Inscrire 0 si aucun)
Si 0 ►(",TEXT(V6,"0.00"),")")</f>
        <v>Combien de [...] appartiennent au ménage lui-même? 
(Inscrire 0 si aucun)
Si 0 ►(17.08)</v>
      </c>
      <c r="G7" s="3702" t="s">
        <v>2320</v>
      </c>
      <c r="H7" s="3703"/>
      <c r="I7" s="3703"/>
      <c r="J7" s="3703"/>
      <c r="K7" s="3703"/>
      <c r="L7" s="3703"/>
      <c r="M7" s="3703"/>
      <c r="N7" s="3703"/>
      <c r="O7" s="3703"/>
      <c r="P7" s="3703"/>
      <c r="Q7" s="3703"/>
      <c r="R7" s="3703"/>
      <c r="S7" s="3703"/>
      <c r="T7" s="3703"/>
      <c r="U7" s="3704"/>
      <c r="V7" s="653" t="str">
        <f>CONCATENATE("Combien de [...] avez-vous achetés au cours des 12 derniers mois ? 
(Inscrire 0 si aucun) 
Si 0 ► (",TEXT(X6, "0.00"),")")</f>
        <v>Combien de [...] avez-vous achetés au cours des 12 derniers mois ? 
(Inscrire 0 si aucun) 
Si 0 ► (17.10)</v>
      </c>
      <c r="W7" s="1688" t="s">
        <v>2321</v>
      </c>
      <c r="X7" s="1471" t="str">
        <f>CONCATENATE("Combien de [...] sur pied du troupeau avez-vous vendus au cours des 12 derniers mois ? (Inscrire 0 si aucun) 
Si 0 ►(",TEXT(AE6,"0.00"),")")</f>
        <v>Combien de [...] sur pied du troupeau avez-vous vendus au cours des 12 derniers mois ? (Inscrire 0 si aucun) 
Si 0 ►(17.16)</v>
      </c>
      <c r="Y7" s="1688" t="s">
        <v>2322</v>
      </c>
      <c r="Z7" s="2470" t="s">
        <v>2323</v>
      </c>
      <c r="AA7" s="2470" t="s">
        <v>2324</v>
      </c>
      <c r="AB7" s="2523" t="s">
        <v>2325</v>
      </c>
      <c r="AC7" s="3593" t="s">
        <v>2326</v>
      </c>
      <c r="AD7" s="3601"/>
      <c r="AE7" s="1452" t="str">
        <f>CONCATENATE("Avez-vous abattus vos [...] au cours des 12 derniers mois pour la production de viande?  
1=Oui
2=Non ►(",TEXT(BB6,"0.00")," ) ")</f>
        <v xml:space="preserve">Avez-vous abattus vos [...] au cours des 12 derniers mois pour la production de viande?  
1=Oui
2=Non ►(17.28 ) </v>
      </c>
      <c r="AF7" s="1453" t="s">
        <v>2327</v>
      </c>
      <c r="AG7" s="3713" t="s">
        <v>2328</v>
      </c>
      <c r="AH7" s="3714"/>
      <c r="AI7" s="3714"/>
      <c r="AJ7" s="3714"/>
      <c r="AK7" s="3714"/>
      <c r="AL7" s="3714"/>
      <c r="AM7" s="3714"/>
      <c r="AN7" s="3714"/>
      <c r="AO7" s="3715"/>
      <c r="AP7" s="1471" t="str">
        <f>CONCATENATE("Avez-vous vendu une partie de la viande de [...] abattue au cours des 12 derniers mois?  
1=Oui
2=Non ►(",TEXT(AU6,"0.00"),") ")</f>
        <v xml:space="preserve">Avez-vous vendu une partie de la viande de [...] abattue au cours des 12 derniers mois?  
1=Oui
2=Non ►(17.23) </v>
      </c>
      <c r="AQ7" s="2473" t="s">
        <v>2329</v>
      </c>
      <c r="AR7" s="2536" t="s">
        <v>2330</v>
      </c>
      <c r="AS7" s="3593" t="s">
        <v>2331</v>
      </c>
      <c r="AT7" s="3601"/>
      <c r="AU7" s="2539" t="str">
        <f>CONCATENATE("Avez-vous supporté des charges spécifiques (frais d'abattage, fournitures, transport, etc.) relatives à la production de la viande?
1=Oui
2=Non ► (",TEXT(AX6,"0.00"),") ")</f>
        <v xml:space="preserve">Avez-vous supporté des charges spécifiques (frais d'abattage, fournitures, transport, etc.) relatives à la production de la viande?
1=Oui
2=Non ► (17.25) </v>
      </c>
      <c r="AV7" s="3593" t="s">
        <v>2332</v>
      </c>
      <c r="AW7" s="3601"/>
      <c r="AX7" s="2470" t="str">
        <f>CONCATENATE("Avez-vous vendu des peaux de [...] au cours des 12 derniers mois? 
1=Oui
2=Non ►(",TEXT(BB6,"0.00"),")")</f>
        <v>Avez-vous vendu des peaux de [...] au cours des 12 derniers mois? 
1=Oui
2=Non ►(17.28)</v>
      </c>
      <c r="AY7" s="2523" t="s">
        <v>2333</v>
      </c>
      <c r="AZ7" s="3712" t="s">
        <v>2331</v>
      </c>
      <c r="BA7" s="3712"/>
      <c r="BB7" s="2465" t="str">
        <f>CONCATENATE("Avez-vous exploité [...] pour la production de lait au cours des 12 derniers mois?
1 = Oui
2 = Non ►(",TEXT(CE6,"0.00"),")")</f>
        <v>Avez-vous exploité [...] pour la production de lait au cours des 12 derniers mois?
1 = Oui
2 = Non ►(17.49)</v>
      </c>
      <c r="BC7" s="2465" t="s">
        <v>2334</v>
      </c>
      <c r="BD7" s="1454" t="s">
        <v>2335</v>
      </c>
      <c r="BE7" s="3716" t="s">
        <v>2336</v>
      </c>
      <c r="BF7" s="3717"/>
      <c r="BG7" s="3705" t="s">
        <v>2337</v>
      </c>
      <c r="BH7" s="3626"/>
      <c r="BI7" s="2470" t="str">
        <f>CONCATENATE("Avez-vous vendu une partie de cette production de lait frais de […]?
1 = Oui
2 = Non ►(",TEXT(BP6,"0.00"),")")</f>
        <v>Avez-vous vendu une partie de cette production de lait frais de […]?
1 = Oui
2 = Non ►(17.37)</v>
      </c>
      <c r="BJ7" s="3705" t="s">
        <v>2338</v>
      </c>
      <c r="BK7" s="3625"/>
      <c r="BL7" s="3626"/>
      <c r="BM7" s="2470" t="s">
        <v>2339</v>
      </c>
      <c r="BN7" s="3593" t="s">
        <v>2340</v>
      </c>
      <c r="BO7" s="3601"/>
      <c r="BP7" s="2465" t="str">
        <f>CONCATENATE("Avez-vous transformé une partie de cette production de lait au cours des 12 derniers mois?
1 = Oui
2 = Non ►(",TEXT(CE6,"0.00"),")")</f>
        <v>Avez-vous transformé une partie de cette production de lait au cours des 12 derniers mois?
1 = Oui
2 = Non ►(17.49)</v>
      </c>
      <c r="BQ7" s="3593" t="s">
        <v>2341</v>
      </c>
      <c r="BR7" s="3601"/>
      <c r="BS7" s="1561" t="str">
        <f>CONCATENATE("Avez-vous vendu du lait caillé, du beurre ou du fromage au cours des 12 derniers mois?
1 = Oui
2 = Non ►(",TEXT(CE6,"0.00"),") ")</f>
        <v xml:space="preserve">Avez-vous vendu du lait caillé, du beurre ou du fromage au cours des 12 derniers mois?
1 = Oui
2 = Non ►(17.49) </v>
      </c>
      <c r="BT7" s="1455" t="s">
        <v>2342</v>
      </c>
      <c r="BU7" s="3593" t="s">
        <v>2343</v>
      </c>
      <c r="BV7" s="3601"/>
      <c r="BW7" s="1561" t="str">
        <f>CONCATENATE("Avez-vous produit des oeufs de [...] au cours des 12 derniers mois?
1=Oui
2=Non ►",TEXT(CE6,"(0.00)"))</f>
        <v>Avez-vous produit des oeufs de [...] au cours des 12 derniers mois?
1=Oui
2=Non ►(17.49)</v>
      </c>
      <c r="BX7" s="1455" t="s">
        <v>2344</v>
      </c>
      <c r="BY7" s="2470" t="s">
        <v>2345</v>
      </c>
      <c r="BZ7" s="905" t="str">
        <f>CONCATENATE("Combien d'oeufs de [...] avez-vous vendus en moyenne chaque mois au cours de ces mois?
(Si Aucun, inscrire 0 et  ►(",TEXT(CD6,"0.00"),") )")</f>
        <v>Combien d'oeufs de [...] avez-vous vendus en moyenne chaque mois au cours de ces mois?
(Si Aucun, inscrire 0 et  ►(17.48) )</v>
      </c>
      <c r="CA7" s="1455" t="s">
        <v>2346</v>
      </c>
      <c r="CB7" s="3593" t="s">
        <v>2347</v>
      </c>
      <c r="CC7" s="3601"/>
      <c r="CD7" s="1455" t="s">
        <v>2348</v>
      </c>
      <c r="CE7" s="906" t="str">
        <f>CONCATENATE("Avez-vous eu à acheter des aliments pour nourrir les  [...] au cours des 12 derniers mois?
1=Oui
2=Non ►(17.52)")</f>
        <v>Avez-vous eu à acheter des aliments pour nourrir les  [...] au cours des 12 derniers mois?
1=Oui
2=Non ►(17.52)</v>
      </c>
      <c r="CF7" s="906" t="s">
        <v>2349</v>
      </c>
      <c r="CG7" s="906" t="s">
        <v>2350</v>
      </c>
      <c r="CH7" s="906" t="s">
        <v>2351</v>
      </c>
      <c r="CI7" s="908" t="str">
        <f>CONCATENATE("Avez vous payé pour abreuver les [...] au cours des 12 derniers mois?
1 = Oui
2 = Non ►(",TEXT(CL6,"0.00"),")")</f>
        <v>Avez vous payé pour abreuver les [...] au cours des 12 derniers mois?
1 = Oui
2 = Non ►(17.56)</v>
      </c>
      <c r="CJ7" s="908" t="s">
        <v>2352</v>
      </c>
      <c r="CK7" s="907" t="s">
        <v>2353</v>
      </c>
      <c r="CL7" s="908" t="str">
        <f>CONCATENATE("Avez-vous fait vacciner,[...] du troupeau au cours des 12 derniers mois?
1=Oui
2=Non ►(",TEXT(CN6,"0.00"),")")</f>
        <v>Avez-vous fait vacciner,[...] du troupeau au cours des 12 derniers mois?
1=Oui
2=Non ►(17.58)</v>
      </c>
      <c r="CM7" s="908" t="s">
        <v>2354</v>
      </c>
      <c r="CN7" s="908" t="str">
        <f>CONCATENATE("Avez-vous fait déparasiter  [...] du troupeau au cours des 12 derniers mois?  
1=Oui
2=Non ►(",TEXT(CP6,"0.00"),") ")</f>
        <v xml:space="preserve">Avez-vous fait déparasiter  [...] du troupeau au cours des 12 derniers mois?  
1=Oui
2=Non ►(17.60) </v>
      </c>
      <c r="CO7" s="908" t="s">
        <v>2355</v>
      </c>
      <c r="CP7" s="908" t="s">
        <v>2356</v>
      </c>
      <c r="CQ7" s="908" t="s">
        <v>2357</v>
      </c>
    </row>
    <row r="8" spans="1:95" ht="12.5" x14ac:dyDescent="0.25">
      <c r="A8" s="3707"/>
      <c r="B8" s="3707"/>
      <c r="C8" s="2524"/>
      <c r="D8" s="3253"/>
      <c r="E8" s="3222"/>
      <c r="F8" s="2524"/>
      <c r="G8" s="3702" t="s">
        <v>1582</v>
      </c>
      <c r="H8" s="3703"/>
      <c r="I8" s="3704"/>
      <c r="J8" s="3702" t="s">
        <v>1583</v>
      </c>
      <c r="K8" s="3703"/>
      <c r="L8" s="3704"/>
      <c r="M8" s="3702" t="s">
        <v>1584</v>
      </c>
      <c r="N8" s="3703"/>
      <c r="O8" s="3704"/>
      <c r="P8" s="3702" t="s">
        <v>1585</v>
      </c>
      <c r="Q8" s="3703"/>
      <c r="R8" s="3704"/>
      <c r="S8" s="3702" t="s">
        <v>2358</v>
      </c>
      <c r="T8" s="3703"/>
      <c r="U8" s="3704"/>
      <c r="V8" s="1470"/>
      <c r="W8" s="1469"/>
      <c r="X8" s="1472"/>
      <c r="Y8" s="1690"/>
      <c r="Z8" s="2471"/>
      <c r="AA8" s="2533"/>
      <c r="AB8" s="1469"/>
      <c r="AC8" s="2537"/>
      <c r="AD8" s="2540"/>
      <c r="AE8" s="504"/>
      <c r="AF8" s="1473"/>
      <c r="AG8" s="1465"/>
      <c r="AH8" s="1456"/>
      <c r="AI8" s="1456"/>
      <c r="AJ8" s="1456"/>
      <c r="AK8" s="1456"/>
      <c r="AL8" s="1456"/>
      <c r="AM8" s="1456"/>
      <c r="AN8" s="1456"/>
      <c r="AO8" s="1466"/>
      <c r="AP8" s="1472"/>
      <c r="AQ8" s="2350"/>
      <c r="AR8" s="2537"/>
      <c r="AS8" s="2537"/>
      <c r="AT8" s="2540"/>
      <c r="AU8" s="2472"/>
      <c r="AV8" s="2537"/>
      <c r="AW8" s="2540"/>
      <c r="AX8" s="2471"/>
      <c r="AY8" s="2524"/>
      <c r="AZ8" s="2549"/>
      <c r="BA8" s="2549"/>
      <c r="BB8" s="2346"/>
      <c r="BC8" s="2346"/>
      <c r="BD8" s="1447"/>
      <c r="BE8" s="2244"/>
      <c r="BF8" s="2245"/>
      <c r="BG8" s="2537"/>
      <c r="BH8" s="2540"/>
      <c r="BI8" s="2533"/>
      <c r="BJ8" s="2555"/>
      <c r="BK8" s="2529"/>
      <c r="BL8" s="2529"/>
      <c r="BM8" s="2533"/>
      <c r="BN8" s="2537"/>
      <c r="BO8" s="2540"/>
      <c r="BP8" s="2533"/>
      <c r="BQ8" s="2537"/>
      <c r="BR8" s="2540"/>
      <c r="BS8" s="1444"/>
      <c r="BT8" s="1444"/>
      <c r="BU8" s="2537"/>
      <c r="BV8" s="2540"/>
      <c r="BW8" s="1444"/>
      <c r="BX8" s="1444"/>
      <c r="BY8" s="2533"/>
      <c r="BZ8" s="1444"/>
      <c r="CA8" s="1444"/>
      <c r="CB8" s="2537"/>
      <c r="CC8" s="2540"/>
      <c r="CD8" s="1417"/>
      <c r="CE8" s="2402"/>
      <c r="CF8" s="2402"/>
      <c r="CG8" s="2432"/>
      <c r="CH8" s="2432"/>
      <c r="CI8" s="1463"/>
      <c r="CJ8" s="1463"/>
      <c r="CK8" s="1464"/>
      <c r="CL8" s="1463"/>
      <c r="CM8" s="1463"/>
      <c r="CN8" s="1463"/>
      <c r="CO8" s="1463"/>
      <c r="CP8" s="1463"/>
      <c r="CQ8" s="1463"/>
    </row>
    <row r="9" spans="1:95" ht="29.25" customHeight="1" x14ac:dyDescent="0.25">
      <c r="A9" s="3708"/>
      <c r="B9" s="3708"/>
      <c r="C9" s="2533"/>
      <c r="D9" s="3592"/>
      <c r="E9" s="3273"/>
      <c r="F9" s="2533"/>
      <c r="G9" s="910" t="s">
        <v>2359</v>
      </c>
      <c r="H9" s="1127" t="s">
        <v>2360</v>
      </c>
      <c r="I9" s="1135" t="s">
        <v>2361</v>
      </c>
      <c r="J9" s="910" t="s">
        <v>2359</v>
      </c>
      <c r="K9" s="1127" t="s">
        <v>2360</v>
      </c>
      <c r="L9" s="1135" t="s">
        <v>2361</v>
      </c>
      <c r="M9" s="910" t="s">
        <v>2359</v>
      </c>
      <c r="N9" s="1127" t="s">
        <v>2360</v>
      </c>
      <c r="O9" s="1135" t="s">
        <v>2361</v>
      </c>
      <c r="P9" s="910" t="s">
        <v>2359</v>
      </c>
      <c r="Q9" s="1127" t="s">
        <v>2360</v>
      </c>
      <c r="R9" s="1135" t="s">
        <v>2361</v>
      </c>
      <c r="S9" s="910" t="s">
        <v>2359</v>
      </c>
      <c r="T9" s="1127" t="s">
        <v>2360</v>
      </c>
      <c r="U9" s="1467" t="s">
        <v>2361</v>
      </c>
      <c r="V9" s="2533"/>
      <c r="W9" s="2552" t="s">
        <v>947</v>
      </c>
      <c r="X9" s="2533"/>
      <c r="Y9" s="1691"/>
      <c r="Z9" s="1462"/>
      <c r="AA9" s="1468" t="s">
        <v>947</v>
      </c>
      <c r="AB9" s="1442" t="s">
        <v>947</v>
      </c>
      <c r="AC9" s="1443" t="s">
        <v>1582</v>
      </c>
      <c r="AD9" s="1462" t="s">
        <v>1583</v>
      </c>
      <c r="AE9" s="1444"/>
      <c r="AF9" s="1444"/>
      <c r="AG9" s="1445" t="s">
        <v>2362</v>
      </c>
      <c r="AH9" s="1445" t="s">
        <v>2363</v>
      </c>
      <c r="AI9" s="1445" t="s">
        <v>2364</v>
      </c>
      <c r="AJ9" s="1445" t="s">
        <v>2365</v>
      </c>
      <c r="AK9" s="1445" t="s">
        <v>2366</v>
      </c>
      <c r="AL9" s="1445" t="s">
        <v>2367</v>
      </c>
      <c r="AM9" s="1445" t="s">
        <v>1250</v>
      </c>
      <c r="AN9" s="1445" t="s">
        <v>2368</v>
      </c>
      <c r="AO9" s="1445" t="s">
        <v>2369</v>
      </c>
      <c r="AP9" s="1445"/>
      <c r="AQ9" s="2223"/>
      <c r="AR9" s="1461" t="s">
        <v>947</v>
      </c>
      <c r="AS9" s="2553" t="s">
        <v>1582</v>
      </c>
      <c r="AT9" s="2553" t="s">
        <v>1583</v>
      </c>
      <c r="AU9" s="1446"/>
      <c r="AV9" s="1444" t="s">
        <v>2370</v>
      </c>
      <c r="AW9" s="1444" t="s">
        <v>2371</v>
      </c>
      <c r="AX9" s="1444"/>
      <c r="AY9" s="1446"/>
      <c r="AZ9" s="2548" t="s">
        <v>1582</v>
      </c>
      <c r="BA9" s="2547" t="s">
        <v>1583</v>
      </c>
      <c r="BB9" s="2360"/>
      <c r="BC9" s="2360"/>
      <c r="BD9" s="1460"/>
      <c r="BE9" s="2246" t="s">
        <v>2207</v>
      </c>
      <c r="BF9" s="2246" t="s">
        <v>2287</v>
      </c>
      <c r="BG9" s="2246" t="s">
        <v>2207</v>
      </c>
      <c r="BH9" s="2246" t="s">
        <v>2287</v>
      </c>
      <c r="BI9" s="2546"/>
      <c r="BJ9" s="2246" t="s">
        <v>2207</v>
      </c>
      <c r="BK9" s="2246" t="s">
        <v>2287</v>
      </c>
      <c r="BL9" s="2307" t="s">
        <v>2372</v>
      </c>
      <c r="BM9" s="2554"/>
      <c r="BN9" s="2553" t="s">
        <v>2373</v>
      </c>
      <c r="BO9" s="2553" t="s">
        <v>2374</v>
      </c>
      <c r="BP9" s="2533"/>
      <c r="BQ9" s="2533" t="s">
        <v>2207</v>
      </c>
      <c r="BR9" s="2533" t="s">
        <v>2287</v>
      </c>
      <c r="BS9" s="1444"/>
      <c r="BT9" s="1444"/>
      <c r="BU9" s="2546" t="s">
        <v>2375</v>
      </c>
      <c r="BV9" s="2546" t="s">
        <v>2376</v>
      </c>
      <c r="BW9" s="1448"/>
      <c r="BX9" s="1448"/>
      <c r="BY9" s="2553"/>
      <c r="BZ9" s="1449"/>
      <c r="CA9" s="911"/>
      <c r="CB9" s="2533" t="s">
        <v>2377</v>
      </c>
      <c r="CC9" s="2537" t="s">
        <v>2378</v>
      </c>
      <c r="CD9" s="1449"/>
      <c r="CE9" s="1450"/>
      <c r="CF9" s="1450"/>
      <c r="CG9" s="1458" t="s">
        <v>947</v>
      </c>
      <c r="CH9" s="1457" t="s">
        <v>947</v>
      </c>
      <c r="CI9" s="1451"/>
      <c r="CJ9" s="1451"/>
      <c r="CK9" s="1451"/>
      <c r="CL9" s="1451"/>
      <c r="CM9" s="1451"/>
      <c r="CN9" s="1451"/>
      <c r="CO9" s="1451"/>
      <c r="CP9" s="1451"/>
      <c r="CQ9" s="1451"/>
    </row>
    <row r="10" spans="1:95" s="1142" customFormat="1" ht="23" x14ac:dyDescent="0.25">
      <c r="A10" s="1127" t="s">
        <v>2379</v>
      </c>
      <c r="B10" s="1127" t="s">
        <v>346</v>
      </c>
      <c r="C10" s="1462" t="s">
        <v>346</v>
      </c>
      <c r="D10" s="871" t="s">
        <v>351</v>
      </c>
      <c r="E10" s="1136" t="s">
        <v>2380</v>
      </c>
      <c r="F10" s="1462" t="s">
        <v>2380</v>
      </c>
      <c r="G10" s="1127" t="s">
        <v>351</v>
      </c>
      <c r="H10" s="1127" t="s">
        <v>2380</v>
      </c>
      <c r="I10" s="1127" t="s">
        <v>346</v>
      </c>
      <c r="J10" s="1127" t="s">
        <v>351</v>
      </c>
      <c r="K10" s="1127" t="s">
        <v>2380</v>
      </c>
      <c r="L10" s="1127" t="s">
        <v>346</v>
      </c>
      <c r="M10" s="1127" t="s">
        <v>351</v>
      </c>
      <c r="N10" s="1127" t="s">
        <v>2380</v>
      </c>
      <c r="O10" s="1127" t="s">
        <v>346</v>
      </c>
      <c r="P10" s="1127" t="s">
        <v>351</v>
      </c>
      <c r="Q10" s="1127" t="s">
        <v>2380</v>
      </c>
      <c r="R10" s="1127" t="s">
        <v>346</v>
      </c>
      <c r="S10" s="1127" t="s">
        <v>351</v>
      </c>
      <c r="T10" s="1127" t="s">
        <v>2380</v>
      </c>
      <c r="U10" s="1127" t="s">
        <v>346</v>
      </c>
      <c r="V10" s="1462" t="s">
        <v>141</v>
      </c>
      <c r="W10" s="1127" t="s">
        <v>353</v>
      </c>
      <c r="X10" s="1462" t="s">
        <v>141</v>
      </c>
      <c r="Y10" s="1442" t="s">
        <v>170</v>
      </c>
      <c r="Z10" s="1462" t="s">
        <v>2290</v>
      </c>
      <c r="AA10" s="1127" t="s">
        <v>353</v>
      </c>
      <c r="AB10" s="1127" t="s">
        <v>353</v>
      </c>
      <c r="AC10" s="1127" t="s">
        <v>170</v>
      </c>
      <c r="AD10" s="1127" t="s">
        <v>170</v>
      </c>
      <c r="AE10" s="1442" t="s">
        <v>346</v>
      </c>
      <c r="AF10" s="1442" t="s">
        <v>170</v>
      </c>
      <c r="AG10" s="1127" t="s">
        <v>141</v>
      </c>
      <c r="AH10" s="1127" t="s">
        <v>141</v>
      </c>
      <c r="AI10" s="1127" t="s">
        <v>141</v>
      </c>
      <c r="AJ10" s="1127" t="s">
        <v>141</v>
      </c>
      <c r="AK10" s="1127" t="s">
        <v>141</v>
      </c>
      <c r="AL10" s="1127" t="s">
        <v>141</v>
      </c>
      <c r="AM10" s="1127" t="s">
        <v>141</v>
      </c>
      <c r="AN10" s="1127" t="s">
        <v>141</v>
      </c>
      <c r="AO10" s="1127" t="s">
        <v>141</v>
      </c>
      <c r="AP10" s="1442" t="s">
        <v>346</v>
      </c>
      <c r="AQ10" s="2223" t="s">
        <v>346</v>
      </c>
      <c r="AR10" s="909" t="s">
        <v>353</v>
      </c>
      <c r="AS10" s="909" t="s">
        <v>170</v>
      </c>
      <c r="AT10" s="909" t="s">
        <v>170</v>
      </c>
      <c r="AU10" s="1442" t="s">
        <v>346</v>
      </c>
      <c r="AV10" s="909" t="s">
        <v>353</v>
      </c>
      <c r="AW10" s="909" t="s">
        <v>353</v>
      </c>
      <c r="AX10" s="1442" t="s">
        <v>346</v>
      </c>
      <c r="AY10" s="1442" t="s">
        <v>353</v>
      </c>
      <c r="AZ10" s="909" t="s">
        <v>170</v>
      </c>
      <c r="BA10" s="909" t="s">
        <v>170</v>
      </c>
      <c r="BB10" s="1442" t="s">
        <v>346</v>
      </c>
      <c r="BC10" s="1442" t="s">
        <v>2380</v>
      </c>
      <c r="BD10" s="1137" t="s">
        <v>2380</v>
      </c>
      <c r="BE10" s="2247" t="s">
        <v>2380</v>
      </c>
      <c r="BF10" s="2247" t="s">
        <v>346</v>
      </c>
      <c r="BG10" s="2247" t="s">
        <v>2380</v>
      </c>
      <c r="BH10" s="2247" t="s">
        <v>346</v>
      </c>
      <c r="BI10" s="909" t="s">
        <v>346</v>
      </c>
      <c r="BJ10" s="2247" t="s">
        <v>2380</v>
      </c>
      <c r="BK10" s="2247" t="s">
        <v>346</v>
      </c>
      <c r="BL10" s="2247" t="s">
        <v>2380</v>
      </c>
      <c r="BM10" s="909" t="s">
        <v>353</v>
      </c>
      <c r="BN10" s="909" t="s">
        <v>170</v>
      </c>
      <c r="BO10" s="909" t="s">
        <v>170</v>
      </c>
      <c r="BP10" s="909" t="s">
        <v>346</v>
      </c>
      <c r="BQ10" s="1140" t="s">
        <v>2380</v>
      </c>
      <c r="BR10" s="1127" t="s">
        <v>346</v>
      </c>
      <c r="BS10" s="909" t="s">
        <v>346</v>
      </c>
      <c r="BT10" s="909" t="s">
        <v>2381</v>
      </c>
      <c r="BU10" s="909" t="s">
        <v>2382</v>
      </c>
      <c r="BV10" s="909" t="s">
        <v>2382</v>
      </c>
      <c r="BW10" s="1139" t="s">
        <v>346</v>
      </c>
      <c r="BX10" s="1138" t="s">
        <v>141</v>
      </c>
      <c r="BY10" s="1138" t="s">
        <v>141</v>
      </c>
      <c r="BZ10" s="1138" t="s">
        <v>141</v>
      </c>
      <c r="CA10" s="1137" t="s">
        <v>353</v>
      </c>
      <c r="CB10" s="909" t="s">
        <v>170</v>
      </c>
      <c r="CC10" s="1127" t="s">
        <v>170</v>
      </c>
      <c r="CD10" s="1459" t="s">
        <v>141</v>
      </c>
      <c r="CE10" s="1141" t="s">
        <v>346</v>
      </c>
      <c r="CF10" s="1138" t="s">
        <v>141</v>
      </c>
      <c r="CG10" s="1141" t="s">
        <v>353</v>
      </c>
      <c r="CH10" s="1141" t="s">
        <v>353</v>
      </c>
      <c r="CI10" s="1141" t="s">
        <v>346</v>
      </c>
      <c r="CJ10" s="1141" t="s">
        <v>141</v>
      </c>
      <c r="CK10" s="1141" t="s">
        <v>353</v>
      </c>
      <c r="CL10" s="1141" t="s">
        <v>346</v>
      </c>
      <c r="CM10" s="1141" t="s">
        <v>353</v>
      </c>
      <c r="CN10" s="1141" t="s">
        <v>346</v>
      </c>
      <c r="CO10" s="1141" t="s">
        <v>353</v>
      </c>
      <c r="CP10" s="1141" t="s">
        <v>346</v>
      </c>
      <c r="CQ10" s="1141" t="s">
        <v>353</v>
      </c>
    </row>
    <row r="11" spans="1:95" ht="20.25" customHeight="1" x14ac:dyDescent="0.25">
      <c r="A11" s="913" t="s">
        <v>2383</v>
      </c>
      <c r="B11" s="909">
        <v>1</v>
      </c>
      <c r="C11" s="871"/>
      <c r="D11" s="1067"/>
      <c r="E11" s="871"/>
      <c r="F11" s="871"/>
      <c r="G11" s="871"/>
      <c r="H11" s="871"/>
      <c r="I11" s="871"/>
      <c r="J11" s="871"/>
      <c r="K11" s="871"/>
      <c r="L11" s="871"/>
      <c r="M11" s="871"/>
      <c r="N11" s="871"/>
      <c r="O11" s="871"/>
      <c r="P11" s="871"/>
      <c r="Q11" s="871"/>
      <c r="R11" s="871"/>
      <c r="S11" s="871"/>
      <c r="T11" s="871"/>
      <c r="U11" s="871"/>
      <c r="V11" s="871"/>
      <c r="W11" s="871"/>
      <c r="X11" s="871"/>
      <c r="Y11" s="2523"/>
      <c r="Z11" s="871"/>
      <c r="AA11" s="871"/>
      <c r="AB11" s="871"/>
      <c r="AC11" s="871"/>
      <c r="AD11" s="871"/>
      <c r="AE11" s="913"/>
      <c r="AF11" s="913"/>
      <c r="AG11" s="2523"/>
      <c r="AH11" s="2523"/>
      <c r="AI11" s="2523"/>
      <c r="AJ11" s="2523"/>
      <c r="AK11" s="2523"/>
      <c r="AL11" s="2523"/>
      <c r="AM11" s="2523"/>
      <c r="AN11" s="2523"/>
      <c r="AO11" s="2523"/>
      <c r="AP11" s="2523"/>
      <c r="AQ11" s="871"/>
      <c r="AR11" s="2523"/>
      <c r="AS11" s="2523"/>
      <c r="AT11" s="2523"/>
      <c r="AU11" s="2523"/>
      <c r="AV11" s="2523"/>
      <c r="AW11" s="2523"/>
      <c r="AX11" s="2523"/>
      <c r="AY11" s="2523"/>
      <c r="AZ11" s="2523"/>
      <c r="BA11" s="2523"/>
      <c r="BB11" s="650"/>
      <c r="BC11" s="650"/>
      <c r="BD11" s="650"/>
      <c r="BE11" s="650"/>
      <c r="BF11" s="650"/>
      <c r="BG11" s="650"/>
      <c r="BH11" s="650"/>
      <c r="BI11" s="650"/>
      <c r="BJ11" s="650"/>
      <c r="BK11" s="650"/>
      <c r="BL11" s="650"/>
      <c r="BM11" s="650"/>
      <c r="BN11" s="650"/>
      <c r="BO11" s="650"/>
      <c r="BP11" s="650"/>
      <c r="BQ11" s="650"/>
      <c r="BR11" s="650"/>
      <c r="BS11" s="650"/>
      <c r="BT11" s="650"/>
      <c r="BU11" s="650"/>
      <c r="BV11" s="650"/>
      <c r="BW11" s="914"/>
      <c r="BX11" s="914"/>
      <c r="BY11" s="914"/>
      <c r="BZ11" s="914"/>
      <c r="CA11" s="914"/>
      <c r="CB11" s="914"/>
      <c r="CC11" s="915"/>
      <c r="CD11" s="915"/>
      <c r="CE11" s="912"/>
      <c r="CF11" s="912"/>
      <c r="CG11" s="912"/>
      <c r="CH11" s="912"/>
      <c r="CI11" s="912"/>
      <c r="CJ11" s="912"/>
      <c r="CK11" s="912"/>
      <c r="CL11" s="912"/>
      <c r="CM11" s="912"/>
      <c r="CN11" s="912"/>
      <c r="CO11" s="912"/>
      <c r="CP11" s="912"/>
      <c r="CQ11" s="912"/>
    </row>
    <row r="12" spans="1:95" ht="20.25" customHeight="1" x14ac:dyDescent="0.25">
      <c r="A12" s="913" t="s">
        <v>2384</v>
      </c>
      <c r="B12" s="909">
        <v>2</v>
      </c>
      <c r="C12" s="916"/>
      <c r="D12" s="1067"/>
      <c r="E12" s="916"/>
      <c r="F12" s="916"/>
      <c r="G12" s="916"/>
      <c r="H12" s="916"/>
      <c r="I12" s="916"/>
      <c r="J12" s="916"/>
      <c r="K12" s="916"/>
      <c r="L12" s="916"/>
      <c r="M12" s="916"/>
      <c r="N12" s="916"/>
      <c r="O12" s="916"/>
      <c r="P12" s="916"/>
      <c r="Q12" s="916"/>
      <c r="R12" s="916"/>
      <c r="S12" s="916"/>
      <c r="T12" s="916"/>
      <c r="U12" s="916"/>
      <c r="V12" s="916"/>
      <c r="W12" s="916"/>
      <c r="X12" s="916"/>
      <c r="Y12" s="2523"/>
      <c r="Z12" s="916"/>
      <c r="AA12" s="916"/>
      <c r="AB12" s="916"/>
      <c r="AC12" s="916"/>
      <c r="AD12" s="916"/>
      <c r="AE12" s="913"/>
      <c r="AF12" s="913"/>
      <c r="AG12" s="2523"/>
      <c r="AH12" s="2523"/>
      <c r="AI12" s="2523"/>
      <c r="AJ12" s="2523"/>
      <c r="AK12" s="2523"/>
      <c r="AL12" s="2523"/>
      <c r="AM12" s="2523"/>
      <c r="AN12" s="2523"/>
      <c r="AO12" s="2523"/>
      <c r="AP12" s="2523"/>
      <c r="AQ12" s="916"/>
      <c r="AR12" s="2523"/>
      <c r="AS12" s="2523"/>
      <c r="AT12" s="2523"/>
      <c r="AU12" s="2523"/>
      <c r="AV12" s="2523"/>
      <c r="AW12" s="2523"/>
      <c r="AX12" s="2523"/>
      <c r="AY12" s="2523"/>
      <c r="AZ12" s="2523"/>
      <c r="BA12" s="2523"/>
      <c r="BB12" s="650"/>
      <c r="BC12" s="650"/>
      <c r="BD12" s="650"/>
      <c r="BE12" s="650"/>
      <c r="BF12" s="650"/>
      <c r="BG12" s="650"/>
      <c r="BH12" s="650"/>
      <c r="BI12" s="650"/>
      <c r="BJ12" s="650"/>
      <c r="BK12" s="650"/>
      <c r="BL12" s="650"/>
      <c r="BM12" s="650"/>
      <c r="BN12" s="650"/>
      <c r="BO12" s="650"/>
      <c r="BP12" s="650"/>
      <c r="BQ12" s="650"/>
      <c r="BR12" s="650"/>
      <c r="BS12" s="650"/>
      <c r="BT12" s="650"/>
      <c r="BU12" s="650"/>
      <c r="BV12" s="650"/>
      <c r="BW12" s="914"/>
      <c r="BX12" s="914"/>
      <c r="BY12" s="914"/>
      <c r="BZ12" s="914"/>
      <c r="CA12" s="914"/>
      <c r="CB12" s="914"/>
      <c r="CC12" s="915"/>
      <c r="CD12" s="915"/>
      <c r="CE12" s="912"/>
      <c r="CF12" s="912"/>
      <c r="CG12" s="912"/>
      <c r="CH12" s="912"/>
      <c r="CI12" s="912"/>
      <c r="CJ12" s="912"/>
      <c r="CK12" s="912"/>
      <c r="CL12" s="912"/>
      <c r="CM12" s="912"/>
      <c r="CN12" s="912"/>
      <c r="CO12" s="912"/>
      <c r="CP12" s="912"/>
      <c r="CQ12" s="912"/>
    </row>
    <row r="13" spans="1:95" ht="20.25" customHeight="1" x14ac:dyDescent="0.25">
      <c r="A13" s="917" t="s">
        <v>2385</v>
      </c>
      <c r="B13" s="918">
        <v>3</v>
      </c>
      <c r="C13" s="1127"/>
      <c r="D13" s="1068"/>
      <c r="E13" s="1127"/>
      <c r="F13" s="1127"/>
      <c r="G13" s="1127"/>
      <c r="H13" s="1127"/>
      <c r="I13" s="1127"/>
      <c r="J13" s="1127"/>
      <c r="K13" s="1127"/>
      <c r="L13" s="1127"/>
      <c r="M13" s="1127"/>
      <c r="N13" s="1127"/>
      <c r="O13" s="1127"/>
      <c r="P13" s="1127"/>
      <c r="Q13" s="1127"/>
      <c r="R13" s="1127"/>
      <c r="S13" s="1127"/>
      <c r="T13" s="1127"/>
      <c r="U13" s="1127"/>
      <c r="V13" s="1127"/>
      <c r="W13" s="1127"/>
      <c r="X13" s="1127"/>
      <c r="Y13" s="650"/>
      <c r="Z13" s="1127"/>
      <c r="AA13" s="1127"/>
      <c r="AB13" s="1127"/>
      <c r="AC13" s="1127"/>
      <c r="AD13" s="1127"/>
      <c r="AE13" s="1127"/>
      <c r="AF13" s="1127"/>
      <c r="AG13" s="1127"/>
      <c r="AH13" s="1127"/>
      <c r="AI13" s="1127"/>
      <c r="AJ13" s="1127"/>
      <c r="AK13" s="1127"/>
      <c r="AL13" s="1127"/>
      <c r="AM13" s="1127"/>
      <c r="AN13" s="1127"/>
      <c r="AO13" s="1127"/>
      <c r="AP13" s="650"/>
      <c r="AQ13" s="1127"/>
      <c r="AR13" s="650"/>
      <c r="AS13" s="650"/>
      <c r="AT13" s="650"/>
      <c r="AU13" s="650"/>
      <c r="AV13" s="650"/>
      <c r="AW13" s="650"/>
      <c r="AX13" s="650"/>
      <c r="AY13" s="650"/>
      <c r="AZ13" s="650"/>
      <c r="BA13" s="650"/>
      <c r="BB13" s="650"/>
      <c r="BC13" s="650"/>
      <c r="BD13" s="650"/>
      <c r="BE13" s="650"/>
      <c r="BF13" s="650"/>
      <c r="BG13" s="650"/>
      <c r="BH13" s="650"/>
      <c r="BI13" s="650"/>
      <c r="BJ13" s="650"/>
      <c r="BK13" s="650"/>
      <c r="BL13" s="650"/>
      <c r="BM13" s="650"/>
      <c r="BN13" s="650"/>
      <c r="BO13" s="650"/>
      <c r="BP13" s="650"/>
      <c r="BQ13" s="650"/>
      <c r="BR13" s="650"/>
      <c r="BS13" s="650"/>
      <c r="BT13" s="650"/>
      <c r="BU13" s="650"/>
      <c r="BV13" s="650"/>
      <c r="BW13" s="914"/>
      <c r="BX13" s="914"/>
      <c r="BY13" s="914"/>
      <c r="BZ13" s="919"/>
      <c r="CA13" s="919"/>
      <c r="CB13" s="919"/>
      <c r="CC13" s="915"/>
      <c r="CD13" s="915"/>
      <c r="CE13" s="912"/>
      <c r="CF13" s="912"/>
      <c r="CG13" s="912"/>
      <c r="CH13" s="912"/>
      <c r="CI13" s="912"/>
      <c r="CJ13" s="912"/>
      <c r="CK13" s="912"/>
      <c r="CL13" s="912"/>
      <c r="CM13" s="912"/>
      <c r="CN13" s="912"/>
      <c r="CO13" s="912"/>
      <c r="CP13" s="912"/>
      <c r="CQ13" s="912"/>
    </row>
    <row r="14" spans="1:95" ht="20.25" customHeight="1" x14ac:dyDescent="0.25">
      <c r="A14" s="917" t="s">
        <v>2386</v>
      </c>
      <c r="B14" s="918">
        <v>4</v>
      </c>
      <c r="C14" s="916"/>
      <c r="D14" s="1068"/>
      <c r="E14" s="916"/>
      <c r="F14" s="916"/>
      <c r="G14" s="916"/>
      <c r="H14" s="916"/>
      <c r="I14" s="916"/>
      <c r="J14" s="916"/>
      <c r="K14" s="916"/>
      <c r="L14" s="916"/>
      <c r="M14" s="916"/>
      <c r="N14" s="916"/>
      <c r="O14" s="916"/>
      <c r="P14" s="916"/>
      <c r="Q14" s="916"/>
      <c r="R14" s="916"/>
      <c r="S14" s="916"/>
      <c r="T14" s="916"/>
      <c r="U14" s="916"/>
      <c r="V14" s="916"/>
      <c r="W14" s="916"/>
      <c r="X14" s="916"/>
      <c r="Y14" s="650"/>
      <c r="Z14" s="916"/>
      <c r="AA14" s="916"/>
      <c r="AB14" s="916"/>
      <c r="AC14" s="916"/>
      <c r="AD14" s="916"/>
      <c r="AE14" s="1127"/>
      <c r="AF14" s="1127"/>
      <c r="AG14" s="1127"/>
      <c r="AH14" s="1127"/>
      <c r="AI14" s="1127"/>
      <c r="AJ14" s="1127"/>
      <c r="AK14" s="1127"/>
      <c r="AL14" s="1127"/>
      <c r="AM14" s="1127"/>
      <c r="AN14" s="1127"/>
      <c r="AO14" s="1127"/>
      <c r="AP14" s="650"/>
      <c r="AQ14" s="916"/>
      <c r="AR14" s="650"/>
      <c r="AS14" s="650"/>
      <c r="AT14" s="650"/>
      <c r="AU14" s="650"/>
      <c r="AV14" s="650"/>
      <c r="AW14" s="650"/>
      <c r="AX14" s="650"/>
      <c r="AY14" s="650"/>
      <c r="AZ14" s="650"/>
      <c r="BA14" s="650"/>
      <c r="BB14" s="650"/>
      <c r="BC14" s="650"/>
      <c r="BD14" s="650"/>
      <c r="BE14" s="650"/>
      <c r="BF14" s="650"/>
      <c r="BG14" s="650"/>
      <c r="BH14" s="650" t="s">
        <v>1536</v>
      </c>
      <c r="BI14" s="650"/>
      <c r="BJ14" s="650"/>
      <c r="BK14" s="650"/>
      <c r="BL14" s="650"/>
      <c r="BM14" s="650"/>
      <c r="BN14" s="650"/>
      <c r="BO14" s="650"/>
      <c r="BP14" s="650"/>
      <c r="BQ14" s="650"/>
      <c r="BR14" s="650"/>
      <c r="BS14" s="650"/>
      <c r="BT14" s="650"/>
      <c r="BU14" s="650"/>
      <c r="BV14" s="650"/>
      <c r="BW14" s="920"/>
      <c r="BX14" s="920"/>
      <c r="BY14" s="920"/>
      <c r="BZ14" s="920"/>
      <c r="CA14" s="920"/>
      <c r="CB14" s="920"/>
      <c r="CC14" s="920"/>
      <c r="CD14" s="920"/>
      <c r="CE14" s="912"/>
      <c r="CF14" s="912"/>
      <c r="CG14" s="912"/>
      <c r="CH14" s="912"/>
      <c r="CI14" s="912"/>
      <c r="CJ14" s="912"/>
      <c r="CK14" s="912"/>
      <c r="CL14" s="912"/>
      <c r="CM14" s="912"/>
      <c r="CN14" s="912"/>
      <c r="CO14" s="912"/>
      <c r="CP14" s="912"/>
      <c r="CQ14" s="912"/>
    </row>
    <row r="15" spans="1:95" ht="20.25" customHeight="1" x14ac:dyDescent="0.25">
      <c r="A15" s="921" t="s">
        <v>2387</v>
      </c>
      <c r="B15" s="922">
        <v>5</v>
      </c>
      <c r="C15" s="916"/>
      <c r="D15" s="922"/>
      <c r="E15" s="916"/>
      <c r="F15" s="916"/>
      <c r="G15" s="916"/>
      <c r="H15" s="916"/>
      <c r="I15" s="916"/>
      <c r="J15" s="916"/>
      <c r="K15" s="916"/>
      <c r="L15" s="916"/>
      <c r="M15" s="916"/>
      <c r="N15" s="916"/>
      <c r="O15" s="916"/>
      <c r="P15" s="916"/>
      <c r="Q15" s="916"/>
      <c r="R15" s="916"/>
      <c r="S15" s="916"/>
      <c r="T15" s="916"/>
      <c r="U15" s="916"/>
      <c r="V15" s="916"/>
      <c r="W15" s="916"/>
      <c r="X15" s="916"/>
      <c r="Y15" s="650"/>
      <c r="Z15" s="916"/>
      <c r="AA15" s="916"/>
      <c r="AB15" s="916"/>
      <c r="AC15" s="916"/>
      <c r="AD15" s="916"/>
      <c r="AE15" s="1127"/>
      <c r="AF15" s="1127"/>
      <c r="AG15" s="1127"/>
      <c r="AH15" s="1127"/>
      <c r="AI15" s="1127"/>
      <c r="AJ15" s="1127"/>
      <c r="AK15" s="1127"/>
      <c r="AL15" s="1127"/>
      <c r="AM15" s="1127"/>
      <c r="AN15" s="1127"/>
      <c r="AO15" s="1127"/>
      <c r="AP15" s="650"/>
      <c r="AQ15" s="916"/>
      <c r="AR15" s="650"/>
      <c r="AS15" s="650"/>
      <c r="AT15" s="650"/>
      <c r="AU15" s="650"/>
      <c r="AV15" s="650"/>
      <c r="AW15" s="650"/>
      <c r="AX15" s="566"/>
      <c r="AY15" s="566"/>
      <c r="AZ15" s="566"/>
      <c r="BA15" s="566"/>
      <c r="BB15" s="920"/>
      <c r="BC15" s="920"/>
      <c r="BD15" s="920"/>
      <c r="BE15" s="920"/>
      <c r="BF15" s="920"/>
      <c r="BG15" s="920"/>
      <c r="BH15" s="920"/>
      <c r="BI15" s="920"/>
      <c r="BJ15" s="920"/>
      <c r="BK15" s="920"/>
      <c r="BL15" s="920"/>
      <c r="BM15" s="920"/>
      <c r="BN15" s="920"/>
      <c r="BO15" s="920"/>
      <c r="BP15" s="920"/>
      <c r="BQ15" s="920"/>
      <c r="BR15" s="920"/>
      <c r="BS15" s="920"/>
      <c r="BT15" s="920"/>
      <c r="BU15" s="920"/>
      <c r="BV15" s="920"/>
      <c r="BW15" s="920"/>
      <c r="BX15" s="920"/>
      <c r="BY15" s="920"/>
      <c r="BZ15" s="920"/>
      <c r="CA15" s="920"/>
      <c r="CB15" s="920"/>
      <c r="CC15" s="920"/>
      <c r="CD15" s="920"/>
      <c r="CE15" s="912"/>
      <c r="CF15" s="912"/>
      <c r="CG15" s="912"/>
      <c r="CH15" s="912"/>
      <c r="CI15" s="912"/>
      <c r="CJ15" s="912"/>
      <c r="CK15" s="912"/>
      <c r="CL15" s="912"/>
      <c r="CM15" s="912"/>
      <c r="CN15" s="912"/>
      <c r="CO15" s="912"/>
      <c r="CP15" s="912"/>
      <c r="CQ15" s="912"/>
    </row>
    <row r="16" spans="1:95" ht="20.25" customHeight="1" x14ac:dyDescent="0.25">
      <c r="A16" s="923" t="s">
        <v>2388</v>
      </c>
      <c r="B16" s="922">
        <v>6</v>
      </c>
      <c r="C16" s="916"/>
      <c r="D16" s="922"/>
      <c r="E16" s="916"/>
      <c r="F16" s="916"/>
      <c r="G16" s="916"/>
      <c r="H16" s="916"/>
      <c r="I16" s="916"/>
      <c r="J16" s="916"/>
      <c r="K16" s="916"/>
      <c r="L16" s="916"/>
      <c r="M16" s="916"/>
      <c r="N16" s="916"/>
      <c r="O16" s="916"/>
      <c r="P16" s="916"/>
      <c r="Q16" s="916"/>
      <c r="R16" s="916"/>
      <c r="S16" s="916"/>
      <c r="T16" s="916"/>
      <c r="U16" s="916"/>
      <c r="V16" s="916"/>
      <c r="W16" s="916"/>
      <c r="X16" s="916"/>
      <c r="Y16" s="650"/>
      <c r="Z16" s="916"/>
      <c r="AA16" s="916"/>
      <c r="AB16" s="916"/>
      <c r="AC16" s="916"/>
      <c r="AD16" s="916"/>
      <c r="AE16" s="1127"/>
      <c r="AF16" s="1127"/>
      <c r="AG16" s="1127"/>
      <c r="AH16" s="1127"/>
      <c r="AI16" s="1127"/>
      <c r="AJ16" s="1127"/>
      <c r="AK16" s="1127"/>
      <c r="AL16" s="1127"/>
      <c r="AM16" s="1127"/>
      <c r="AN16" s="1127"/>
      <c r="AO16" s="1127"/>
      <c r="AP16" s="650"/>
      <c r="AQ16" s="916"/>
      <c r="AR16" s="650"/>
      <c r="AS16" s="650"/>
      <c r="AT16" s="650"/>
      <c r="AU16" s="650"/>
      <c r="AV16" s="650"/>
      <c r="AW16" s="650"/>
      <c r="AX16" s="566"/>
      <c r="AY16" s="566"/>
      <c r="AZ16" s="566"/>
      <c r="BA16" s="566"/>
      <c r="BB16" s="920"/>
      <c r="BC16" s="920"/>
      <c r="BD16" s="920"/>
      <c r="BE16" s="920"/>
      <c r="BF16" s="920"/>
      <c r="BG16" s="920"/>
      <c r="BH16" s="920"/>
      <c r="BI16" s="920"/>
      <c r="BJ16" s="920"/>
      <c r="BK16" s="920"/>
      <c r="BL16" s="920"/>
      <c r="BM16" s="920"/>
      <c r="BN16" s="920"/>
      <c r="BO16" s="920"/>
      <c r="BP16" s="920"/>
      <c r="BQ16" s="920"/>
      <c r="BR16" s="920"/>
      <c r="BS16" s="920"/>
      <c r="BT16" s="920"/>
      <c r="BU16" s="920"/>
      <c r="BV16" s="920"/>
      <c r="BW16" s="920"/>
      <c r="BX16" s="920"/>
      <c r="BY16" s="920"/>
      <c r="BZ16" s="920"/>
      <c r="CA16" s="920"/>
      <c r="CB16" s="920"/>
      <c r="CC16" s="920"/>
      <c r="CD16" s="920"/>
      <c r="CE16" s="912"/>
      <c r="CF16" s="912"/>
      <c r="CG16" s="912"/>
      <c r="CH16" s="912"/>
      <c r="CI16" s="912"/>
      <c r="CJ16" s="912"/>
      <c r="CK16" s="912"/>
      <c r="CL16" s="912"/>
      <c r="CM16" s="912"/>
      <c r="CN16" s="912"/>
      <c r="CO16" s="912"/>
      <c r="CP16" s="912"/>
      <c r="CQ16" s="912"/>
    </row>
    <row r="17" spans="1:95" ht="20.25" customHeight="1" x14ac:dyDescent="0.25">
      <c r="A17" s="917" t="s">
        <v>2389</v>
      </c>
      <c r="B17" s="918">
        <v>7</v>
      </c>
      <c r="C17" s="916"/>
      <c r="D17" s="1068"/>
      <c r="E17" s="916"/>
      <c r="F17" s="916"/>
      <c r="G17" s="916"/>
      <c r="H17" s="916"/>
      <c r="I17" s="916"/>
      <c r="J17" s="916"/>
      <c r="K17" s="916"/>
      <c r="L17" s="916"/>
      <c r="M17" s="916"/>
      <c r="N17" s="916"/>
      <c r="O17" s="916"/>
      <c r="P17" s="916"/>
      <c r="Q17" s="916"/>
      <c r="R17" s="916"/>
      <c r="S17" s="916"/>
      <c r="T17" s="916"/>
      <c r="U17" s="916"/>
      <c r="V17" s="916"/>
      <c r="W17" s="916"/>
      <c r="X17" s="916"/>
      <c r="Y17" s="140"/>
      <c r="Z17" s="916"/>
      <c r="AA17" s="916"/>
      <c r="AB17" s="916"/>
      <c r="AC17" s="916"/>
      <c r="AD17" s="916"/>
      <c r="AE17" s="140"/>
      <c r="AF17" s="140"/>
      <c r="AG17" s="140"/>
      <c r="AH17" s="140"/>
      <c r="AI17" s="140"/>
      <c r="AJ17" s="140"/>
      <c r="AK17" s="140"/>
      <c r="AL17" s="140"/>
      <c r="AM17" s="140"/>
      <c r="AN17" s="140"/>
      <c r="AO17" s="140"/>
      <c r="AP17" s="140"/>
      <c r="AQ17" s="916"/>
      <c r="AR17" s="140"/>
      <c r="AS17" s="140"/>
      <c r="AT17" s="140"/>
      <c r="AU17" s="140"/>
      <c r="AV17" s="140"/>
      <c r="AW17" s="140"/>
      <c r="AX17" s="920"/>
      <c r="AY17" s="920"/>
      <c r="AZ17" s="920"/>
      <c r="BA17" s="920"/>
      <c r="BB17" s="920"/>
      <c r="BC17" s="920"/>
      <c r="BD17" s="920"/>
      <c r="BE17" s="920"/>
      <c r="BF17" s="920"/>
      <c r="BG17" s="920"/>
      <c r="BH17" s="920"/>
      <c r="BI17" s="920"/>
      <c r="BJ17" s="920"/>
      <c r="BK17" s="920"/>
      <c r="BL17" s="920"/>
      <c r="BM17" s="920"/>
      <c r="BN17" s="920"/>
      <c r="BO17" s="920"/>
      <c r="BP17" s="920"/>
      <c r="BQ17" s="920"/>
      <c r="BR17" s="920"/>
      <c r="BS17" s="920"/>
      <c r="BT17" s="920"/>
      <c r="BU17" s="920"/>
      <c r="BV17" s="920"/>
      <c r="BW17" s="920"/>
      <c r="BX17" s="920"/>
      <c r="BY17" s="920"/>
      <c r="BZ17" s="920"/>
      <c r="CA17" s="920"/>
      <c r="CB17" s="920"/>
      <c r="CC17" s="920"/>
      <c r="CD17" s="920"/>
      <c r="CE17" s="912"/>
      <c r="CF17" s="912"/>
      <c r="CG17" s="912"/>
      <c r="CH17" s="912"/>
      <c r="CI17" s="912"/>
      <c r="CJ17" s="912"/>
      <c r="CK17" s="912"/>
      <c r="CL17" s="912"/>
      <c r="CM17" s="912"/>
      <c r="CN17" s="912"/>
      <c r="CO17" s="912"/>
      <c r="CP17" s="912"/>
      <c r="CQ17" s="912"/>
    </row>
    <row r="18" spans="1:95" ht="20.25" customHeight="1" x14ac:dyDescent="0.25">
      <c r="A18" s="917" t="s">
        <v>2390</v>
      </c>
      <c r="B18" s="918">
        <v>8</v>
      </c>
      <c r="C18" s="871"/>
      <c r="D18" s="1068"/>
      <c r="E18" s="871"/>
      <c r="F18" s="871"/>
      <c r="G18" s="871"/>
      <c r="H18" s="871"/>
      <c r="I18" s="871"/>
      <c r="J18" s="871"/>
      <c r="K18" s="871"/>
      <c r="L18" s="871"/>
      <c r="M18" s="871"/>
      <c r="N18" s="871"/>
      <c r="O18" s="871"/>
      <c r="P18" s="871"/>
      <c r="Q18" s="871"/>
      <c r="R18" s="871"/>
      <c r="S18" s="871"/>
      <c r="T18" s="871"/>
      <c r="U18" s="871"/>
      <c r="V18" s="871"/>
      <c r="W18" s="871"/>
      <c r="X18" s="871"/>
      <c r="Y18" s="140"/>
      <c r="Z18" s="871"/>
      <c r="AA18" s="871"/>
      <c r="AB18" s="871"/>
      <c r="AC18" s="871"/>
      <c r="AD18" s="871"/>
      <c r="AE18" s="140"/>
      <c r="AF18" s="140"/>
      <c r="AG18" s="140"/>
      <c r="AH18" s="140"/>
      <c r="AI18" s="140"/>
      <c r="AJ18" s="140"/>
      <c r="AK18" s="140"/>
      <c r="AL18" s="140"/>
      <c r="AM18" s="140"/>
      <c r="AN18" s="140"/>
      <c r="AO18" s="140"/>
      <c r="AP18" s="140"/>
      <c r="AQ18" s="871"/>
      <c r="AR18" s="140"/>
      <c r="AS18" s="140"/>
      <c r="AT18" s="140"/>
      <c r="AU18" s="140"/>
      <c r="AV18" s="140"/>
      <c r="AW18" s="140"/>
      <c r="AX18" s="920"/>
      <c r="AY18" s="920"/>
      <c r="AZ18" s="920"/>
      <c r="BA18" s="920"/>
      <c r="BB18" s="920"/>
      <c r="BC18" s="920"/>
      <c r="BD18" s="920"/>
      <c r="BE18" s="920"/>
      <c r="BF18" s="920"/>
      <c r="BG18" s="920"/>
      <c r="BH18" s="920"/>
      <c r="BI18" s="920"/>
      <c r="BJ18" s="920"/>
      <c r="BK18" s="920"/>
      <c r="BL18" s="920"/>
      <c r="BM18" s="920"/>
      <c r="BN18" s="920"/>
      <c r="BO18" s="920"/>
      <c r="BP18" s="920"/>
      <c r="BQ18" s="920"/>
      <c r="BR18" s="920"/>
      <c r="BS18" s="920"/>
      <c r="BT18" s="920"/>
      <c r="BU18" s="920"/>
      <c r="BV18" s="920"/>
      <c r="BW18" s="920"/>
      <c r="BX18" s="920"/>
      <c r="BY18" s="920"/>
      <c r="BZ18" s="920"/>
      <c r="CA18" s="920"/>
      <c r="CB18" s="920"/>
      <c r="CC18" s="920"/>
      <c r="CD18" s="920"/>
      <c r="CE18" s="912"/>
      <c r="CF18" s="912"/>
      <c r="CG18" s="912"/>
      <c r="CH18" s="912"/>
      <c r="CI18" s="912"/>
      <c r="CJ18" s="912"/>
      <c r="CK18" s="912"/>
      <c r="CL18" s="912"/>
      <c r="CM18" s="912"/>
      <c r="CN18" s="912"/>
      <c r="CO18" s="912"/>
      <c r="CP18" s="912"/>
      <c r="CQ18" s="912"/>
    </row>
    <row r="19" spans="1:95" ht="20.25" customHeight="1" x14ac:dyDescent="0.25">
      <c r="A19" s="921" t="s">
        <v>2391</v>
      </c>
      <c r="B19" s="922">
        <v>9</v>
      </c>
      <c r="C19" s="1127"/>
      <c r="D19" s="922"/>
      <c r="E19" s="1127"/>
      <c r="F19" s="1127"/>
      <c r="G19" s="1127"/>
      <c r="H19" s="1127"/>
      <c r="I19" s="1127"/>
      <c r="J19" s="1127"/>
      <c r="K19" s="1127"/>
      <c r="L19" s="1127"/>
      <c r="M19" s="1127"/>
      <c r="N19" s="1127"/>
      <c r="O19" s="1127"/>
      <c r="P19" s="1127"/>
      <c r="Q19" s="1127"/>
      <c r="R19" s="1127"/>
      <c r="S19" s="1127"/>
      <c r="T19" s="1127"/>
      <c r="U19" s="1127"/>
      <c r="V19" s="1127"/>
      <c r="W19" s="1127"/>
      <c r="X19" s="1127"/>
      <c r="Y19" s="140"/>
      <c r="Z19" s="1127"/>
      <c r="AA19" s="1127"/>
      <c r="AB19" s="1127"/>
      <c r="AC19" s="1127"/>
      <c r="AD19" s="1127"/>
      <c r="AE19" s="140"/>
      <c r="AF19" s="140"/>
      <c r="AG19" s="140"/>
      <c r="AH19" s="140"/>
      <c r="AI19" s="140"/>
      <c r="AJ19" s="140"/>
      <c r="AK19" s="140"/>
      <c r="AL19" s="140"/>
      <c r="AM19" s="140"/>
      <c r="AN19" s="140"/>
      <c r="AO19" s="140"/>
      <c r="AP19" s="140"/>
      <c r="AQ19" s="1127"/>
      <c r="AR19" s="140"/>
      <c r="AS19" s="140"/>
      <c r="AT19" s="140"/>
      <c r="AU19" s="140"/>
      <c r="AV19" s="140"/>
      <c r="AW19" s="140"/>
      <c r="AX19" s="920"/>
      <c r="AY19" s="920"/>
      <c r="AZ19" s="920"/>
      <c r="BA19" s="920"/>
      <c r="BB19" s="920"/>
      <c r="BC19" s="920"/>
      <c r="BD19" s="920"/>
      <c r="BE19" s="920"/>
      <c r="BF19" s="920"/>
      <c r="BG19" s="920"/>
      <c r="BH19" s="920"/>
      <c r="BI19" s="920"/>
      <c r="BJ19" s="920"/>
      <c r="BK19" s="920"/>
      <c r="BL19" s="920"/>
      <c r="BM19" s="920"/>
      <c r="BN19" s="920"/>
      <c r="BO19" s="920"/>
      <c r="BP19" s="920"/>
      <c r="BQ19" s="920"/>
      <c r="BR19" s="920"/>
      <c r="BS19" s="920"/>
      <c r="BT19" s="920"/>
      <c r="BU19" s="920"/>
      <c r="BV19" s="920"/>
      <c r="BW19" s="140"/>
      <c r="BX19" s="140"/>
      <c r="BY19" s="140"/>
      <c r="BZ19" s="140"/>
      <c r="CA19" s="140"/>
      <c r="CB19" s="140"/>
      <c r="CC19" s="140"/>
      <c r="CD19" s="140"/>
      <c r="CE19" s="140"/>
      <c r="CF19" s="140"/>
      <c r="CG19" s="140"/>
      <c r="CH19" s="140"/>
      <c r="CI19" s="140"/>
      <c r="CJ19" s="140"/>
      <c r="CK19" s="140"/>
      <c r="CL19" s="140"/>
      <c r="CM19" s="140"/>
      <c r="CN19" s="140"/>
      <c r="CO19" s="140"/>
      <c r="CP19" s="140"/>
      <c r="CQ19" s="140"/>
    </row>
    <row r="20" spans="1:95" ht="20.25" customHeight="1" x14ac:dyDescent="0.25">
      <c r="A20" s="923" t="s">
        <v>2392</v>
      </c>
      <c r="B20" s="922">
        <v>10</v>
      </c>
      <c r="C20" s="1127"/>
      <c r="D20" s="922"/>
      <c r="E20" s="1127"/>
      <c r="F20" s="1127"/>
      <c r="G20" s="1127"/>
      <c r="H20" s="1127"/>
      <c r="I20" s="1127"/>
      <c r="J20" s="1127"/>
      <c r="K20" s="1127"/>
      <c r="L20" s="1127"/>
      <c r="M20" s="1127"/>
      <c r="N20" s="1127"/>
      <c r="O20" s="1127"/>
      <c r="P20" s="1127"/>
      <c r="Q20" s="1127"/>
      <c r="R20" s="1127"/>
      <c r="S20" s="1127"/>
      <c r="T20" s="1127"/>
      <c r="U20" s="1127"/>
      <c r="V20" s="1127"/>
      <c r="W20" s="1127"/>
      <c r="X20" s="1127"/>
      <c r="Y20" s="140"/>
      <c r="Z20" s="1127"/>
      <c r="AA20" s="1127"/>
      <c r="AB20" s="1127"/>
      <c r="AC20" s="1127"/>
      <c r="AD20" s="1127"/>
      <c r="AE20" s="140"/>
      <c r="AF20" s="140"/>
      <c r="AG20" s="140"/>
      <c r="AH20" s="140"/>
      <c r="AI20" s="140"/>
      <c r="AJ20" s="140"/>
      <c r="AK20" s="140"/>
      <c r="AL20" s="140"/>
      <c r="AM20" s="140"/>
      <c r="AN20" s="140"/>
      <c r="AO20" s="140"/>
      <c r="AP20" s="140"/>
      <c r="AQ20" s="1127"/>
      <c r="AR20" s="140"/>
      <c r="AS20" s="140"/>
      <c r="AT20" s="140"/>
      <c r="AU20" s="140"/>
      <c r="AV20" s="140"/>
      <c r="AW20" s="140"/>
      <c r="AX20" s="920"/>
      <c r="AY20" s="920"/>
      <c r="AZ20" s="920"/>
      <c r="BA20" s="920"/>
      <c r="BB20" s="920"/>
      <c r="BC20" s="920"/>
      <c r="BD20" s="920"/>
      <c r="BE20" s="920"/>
      <c r="BF20" s="920"/>
      <c r="BG20" s="920"/>
      <c r="BH20" s="920"/>
      <c r="BI20" s="920"/>
      <c r="BJ20" s="920"/>
      <c r="BK20" s="920"/>
      <c r="BL20" s="920"/>
      <c r="BM20" s="920"/>
      <c r="BN20" s="920"/>
      <c r="BO20" s="920"/>
      <c r="BP20" s="920"/>
      <c r="BQ20" s="920"/>
      <c r="BR20" s="920"/>
      <c r="BS20" s="920"/>
      <c r="BT20" s="920"/>
      <c r="BU20" s="920"/>
      <c r="BV20" s="920"/>
      <c r="BW20" s="140"/>
      <c r="BX20" s="140"/>
      <c r="BY20" s="140"/>
      <c r="BZ20" s="140"/>
      <c r="CA20" s="140"/>
      <c r="CB20" s="140"/>
      <c r="CC20" s="140"/>
      <c r="CD20" s="140"/>
      <c r="CE20" s="140"/>
      <c r="CF20" s="140"/>
      <c r="CG20" s="140"/>
      <c r="CH20" s="140"/>
      <c r="CI20" s="140"/>
      <c r="CJ20" s="140"/>
      <c r="CK20" s="140"/>
      <c r="CL20" s="140"/>
      <c r="CM20" s="140"/>
      <c r="CN20" s="140"/>
      <c r="CO20" s="140"/>
      <c r="CP20" s="140"/>
      <c r="CQ20" s="140"/>
    </row>
    <row r="21" spans="1:95" ht="20.25" customHeight="1" x14ac:dyDescent="0.25">
      <c r="A21" s="923" t="s">
        <v>2393</v>
      </c>
      <c r="B21" s="922">
        <v>11</v>
      </c>
      <c r="C21" s="1127"/>
      <c r="D21" s="922"/>
      <c r="E21" s="1127"/>
      <c r="F21" s="1127"/>
      <c r="G21" s="1127"/>
      <c r="H21" s="1127"/>
      <c r="I21" s="1127"/>
      <c r="J21" s="1127"/>
      <c r="K21" s="1127"/>
      <c r="L21" s="1127"/>
      <c r="M21" s="1127"/>
      <c r="N21" s="1127"/>
      <c r="O21" s="1127"/>
      <c r="P21" s="1127"/>
      <c r="Q21" s="1127"/>
      <c r="R21" s="1127"/>
      <c r="S21" s="1127"/>
      <c r="T21" s="1127"/>
      <c r="U21" s="1127"/>
      <c r="V21" s="1127"/>
      <c r="W21" s="1127"/>
      <c r="X21" s="1127"/>
      <c r="Y21" s="140"/>
      <c r="Z21" s="1127"/>
      <c r="AA21" s="1127"/>
      <c r="AB21" s="1127"/>
      <c r="AC21" s="1127"/>
      <c r="AD21" s="1127"/>
      <c r="AE21" s="140"/>
      <c r="AF21" s="140"/>
      <c r="AG21" s="140"/>
      <c r="AH21" s="140"/>
      <c r="AI21" s="140"/>
      <c r="AJ21" s="140"/>
      <c r="AK21" s="140"/>
      <c r="AL21" s="140"/>
      <c r="AM21" s="140"/>
      <c r="AN21" s="140"/>
      <c r="AO21" s="140"/>
      <c r="AP21" s="140"/>
      <c r="AQ21" s="1127"/>
      <c r="AR21" s="140"/>
      <c r="AS21" s="140"/>
      <c r="AT21" s="140"/>
      <c r="AU21" s="140"/>
      <c r="AV21" s="140"/>
      <c r="AW21" s="140"/>
      <c r="AX21" s="920"/>
      <c r="AY21" s="920"/>
      <c r="AZ21" s="920"/>
      <c r="BA21" s="920"/>
      <c r="BB21" s="920"/>
      <c r="BC21" s="920"/>
      <c r="BD21" s="920"/>
      <c r="BE21" s="920"/>
      <c r="BF21" s="920"/>
      <c r="BG21" s="920"/>
      <c r="BH21" s="920"/>
      <c r="BI21" s="920"/>
      <c r="BJ21" s="920"/>
      <c r="BK21" s="920"/>
      <c r="BL21" s="920"/>
      <c r="BM21" s="920"/>
      <c r="BN21" s="920"/>
      <c r="BO21" s="920"/>
      <c r="BP21" s="920"/>
      <c r="BQ21" s="920"/>
      <c r="BR21" s="920"/>
      <c r="BS21" s="920"/>
      <c r="BT21" s="920"/>
      <c r="BU21" s="920"/>
      <c r="BV21" s="920"/>
      <c r="BW21" s="140"/>
      <c r="BX21" s="140"/>
      <c r="BY21" s="140"/>
      <c r="BZ21" s="140"/>
      <c r="CA21" s="140"/>
      <c r="CB21" s="140"/>
      <c r="CC21" s="140"/>
      <c r="CD21" s="140"/>
      <c r="CE21" s="140"/>
      <c r="CF21" s="140"/>
      <c r="CG21" s="140"/>
      <c r="CH21" s="140"/>
      <c r="CI21" s="140"/>
      <c r="CJ21" s="140"/>
      <c r="CK21" s="140"/>
      <c r="CL21" s="140"/>
      <c r="CM21" s="140"/>
      <c r="CN21" s="140"/>
      <c r="CO21" s="140"/>
      <c r="CP21" s="140"/>
      <c r="CQ21" s="140"/>
    </row>
  </sheetData>
  <mergeCells count="35">
    <mergeCell ref="CB7:CC7"/>
    <mergeCell ref="CB6:CC6"/>
    <mergeCell ref="AC7:AD7"/>
    <mergeCell ref="AG7:AO7"/>
    <mergeCell ref="AS7:AT7"/>
    <mergeCell ref="BU6:BV6"/>
    <mergeCell ref="AC6:AD6"/>
    <mergeCell ref="BQ6:BR6"/>
    <mergeCell ref="BU7:BV7"/>
    <mergeCell ref="BQ7:BR7"/>
    <mergeCell ref="AG6:AO6"/>
    <mergeCell ref="AS6:AT6"/>
    <mergeCell ref="AV6:AW6"/>
    <mergeCell ref="BE7:BF7"/>
    <mergeCell ref="AZ6:BA6"/>
    <mergeCell ref="BG7:BH7"/>
    <mergeCell ref="A7:A9"/>
    <mergeCell ref="BJ6:BK6"/>
    <mergeCell ref="E7:E9"/>
    <mergeCell ref="D7:D9"/>
    <mergeCell ref="G7:U7"/>
    <mergeCell ref="G6:U6"/>
    <mergeCell ref="AV7:AW7"/>
    <mergeCell ref="AZ7:BA7"/>
    <mergeCell ref="J8:L8"/>
    <mergeCell ref="M8:O8"/>
    <mergeCell ref="P8:R8"/>
    <mergeCell ref="S8:U8"/>
    <mergeCell ref="B7:B9"/>
    <mergeCell ref="BN6:BO6"/>
    <mergeCell ref="BE6:BF6"/>
    <mergeCell ref="BG6:BH6"/>
    <mergeCell ref="G8:I8"/>
    <mergeCell ref="BN7:BO7"/>
    <mergeCell ref="BJ7:BL7"/>
  </mergeCells>
  <pageMargins left="0.314" right="0.314" top="0.11799999999999999" bottom="0.27500000000000002" header="0.157" footer="0.11799999999999999"/>
  <pageSetup scale="79" firstPageNumber="84" orientation="landscape" r:id="rId1"/>
  <headerFooter>
    <oddFooter>&amp;C&amp;P</oddFooter>
  </headerFooter>
  <colBreaks count="8" manualBreakCount="8">
    <brk id="21" max="1048575" man="1"/>
    <brk id="30" max="1048575" man="1"/>
    <brk id="41" max="1048575" man="1"/>
    <brk id="49" max="1048575" man="1"/>
    <brk id="60" max="1048575" man="1"/>
    <brk id="74" max="1048575" man="1"/>
    <brk id="82" max="1048575" man="1"/>
    <brk id="89" max="1048575"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0000"/>
  </sheetPr>
  <dimension ref="A1:AI106"/>
  <sheetViews>
    <sheetView view="pageBreakPreview" topLeftCell="A92" zoomScale="120" zoomScaleNormal="120" zoomScaleSheetLayoutView="120" workbookViewId="0">
      <selection activeCell="S51" sqref="S51:U51"/>
    </sheetView>
  </sheetViews>
  <sheetFormatPr defaultColWidth="9.1796875" defaultRowHeight="11.5" x14ac:dyDescent="0.25"/>
  <cols>
    <col min="1" max="1" width="5.453125" style="1359" customWidth="1"/>
    <col min="2" max="2" width="4.1796875" style="1359" customWidth="1"/>
    <col min="3" max="20" width="3.7265625" style="1359" customWidth="1"/>
    <col min="21" max="21" width="5.1796875" style="1359" bestFit="1" customWidth="1"/>
    <col min="22" max="34" width="3.7265625" style="1359" customWidth="1"/>
    <col min="35" max="35" width="4.7265625" style="1359" customWidth="1"/>
    <col min="36" max="16384" width="9.1796875" style="1359"/>
  </cols>
  <sheetData>
    <row r="1" spans="1:35" ht="15.5" x14ac:dyDescent="0.35">
      <c r="A1" s="1426" t="s">
        <v>2394</v>
      </c>
    </row>
    <row r="2" spans="1:35" x14ac:dyDescent="0.25">
      <c r="A2" s="1358"/>
    </row>
    <row r="3" spans="1:35" x14ac:dyDescent="0.25">
      <c r="A3" s="2551">
        <v>18</v>
      </c>
      <c r="B3" s="1359" t="s">
        <v>2395</v>
      </c>
    </row>
    <row r="5" spans="1:35" ht="13.5" customHeight="1" x14ac:dyDescent="0.25">
      <c r="A5" s="2517">
        <f>A3+0.01</f>
        <v>18.010000000000002</v>
      </c>
      <c r="B5" s="3718" t="s">
        <v>2396</v>
      </c>
      <c r="C5" s="3718"/>
      <c r="D5" s="3718"/>
      <c r="E5" s="3718"/>
      <c r="F5" s="3718"/>
      <c r="G5" s="3718"/>
      <c r="H5" s="3718"/>
      <c r="I5" s="3718"/>
      <c r="J5" s="3718"/>
      <c r="K5" s="3718"/>
      <c r="L5" s="3718"/>
      <c r="M5" s="3718"/>
      <c r="N5" s="3718"/>
      <c r="O5" s="3718"/>
      <c r="P5" s="3718"/>
      <c r="Q5" s="3718"/>
      <c r="R5" s="3718"/>
      <c r="S5" s="3718"/>
      <c r="T5" s="1408"/>
      <c r="U5" s="323">
        <f>A32+0.01</f>
        <v>18.070000000000011</v>
      </c>
      <c r="V5" s="1425" t="s">
        <v>2397</v>
      </c>
      <c r="W5" s="1425"/>
      <c r="X5" s="1425"/>
      <c r="Y5" s="1425"/>
      <c r="Z5" s="1425"/>
      <c r="AA5" s="1425"/>
      <c r="AB5" s="1425"/>
      <c r="AC5" s="1425"/>
      <c r="AD5" s="1425"/>
      <c r="AE5" s="1425"/>
      <c r="AF5" s="1425"/>
      <c r="AG5" s="1425"/>
      <c r="AH5" s="1425"/>
      <c r="AI5" s="1361"/>
    </row>
    <row r="6" spans="1:35" x14ac:dyDescent="0.25">
      <c r="A6" s="1362"/>
      <c r="B6" s="1422" t="s">
        <v>2398</v>
      </c>
      <c r="C6" s="1409"/>
      <c r="D6" s="1409"/>
      <c r="E6" s="1409"/>
      <c r="F6" s="1409"/>
      <c r="G6" s="1409"/>
      <c r="H6" s="1409"/>
      <c r="I6" s="1409"/>
      <c r="J6" s="1409"/>
      <c r="K6" s="1409"/>
      <c r="L6" s="1409"/>
      <c r="M6" s="1409"/>
      <c r="N6" s="1409"/>
      <c r="O6" s="1409"/>
      <c r="P6" s="1409"/>
      <c r="Q6" s="1409"/>
      <c r="R6" s="1409"/>
      <c r="S6" s="1409"/>
      <c r="T6" s="1410"/>
      <c r="U6" s="630"/>
      <c r="V6" s="1179" t="s">
        <v>2399</v>
      </c>
      <c r="W6" s="1409"/>
      <c r="X6" s="1409"/>
      <c r="Y6" s="1409"/>
      <c r="Z6" s="1409"/>
      <c r="AA6" s="1409"/>
      <c r="AB6" s="1409"/>
      <c r="AC6" s="1409"/>
      <c r="AD6" s="1363" t="s">
        <v>2400</v>
      </c>
      <c r="AE6" s="1409"/>
      <c r="AF6" s="1409"/>
      <c r="AG6" s="1409"/>
      <c r="AH6" s="1409"/>
      <c r="AI6" s="1364"/>
    </row>
    <row r="7" spans="1:35" x14ac:dyDescent="0.25">
      <c r="A7" s="1362"/>
      <c r="B7" s="1363"/>
      <c r="C7" s="1421" t="s">
        <v>1431</v>
      </c>
      <c r="D7" s="1363"/>
      <c r="E7" s="1363"/>
      <c r="F7" s="1363"/>
      <c r="G7" s="1363"/>
      <c r="H7" s="1363"/>
      <c r="I7" s="1363"/>
      <c r="J7" s="1363"/>
      <c r="K7" s="1363" t="s">
        <v>346</v>
      </c>
      <c r="L7" s="1363"/>
      <c r="M7" s="1363"/>
      <c r="N7" s="1363"/>
      <c r="O7" s="1363"/>
      <c r="P7" s="1363"/>
      <c r="Q7" s="1363"/>
      <c r="R7" s="1363"/>
      <c r="S7" s="1363"/>
      <c r="T7" s="1364"/>
      <c r="U7" s="1362"/>
      <c r="V7" s="1363"/>
      <c r="W7" s="1363"/>
      <c r="X7" s="1363"/>
      <c r="Y7" s="1363"/>
      <c r="Z7" s="1363"/>
      <c r="AA7" s="1363"/>
      <c r="AB7" s="1363"/>
      <c r="AC7" s="1363"/>
      <c r="AD7" s="1363"/>
      <c r="AE7" s="1363"/>
      <c r="AF7" s="1363"/>
      <c r="AG7" s="1363"/>
      <c r="AH7" s="1363"/>
      <c r="AI7" s="1364"/>
    </row>
    <row r="8" spans="1:35" x14ac:dyDescent="0.25">
      <c r="A8" s="1365"/>
      <c r="B8" s="1366"/>
      <c r="C8" s="1421" t="s">
        <v>2401</v>
      </c>
      <c r="D8" s="1366"/>
      <c r="E8" s="1366"/>
      <c r="F8" s="1366"/>
      <c r="G8" s="1366"/>
      <c r="H8" s="1366"/>
      <c r="I8" s="1366"/>
      <c r="J8" s="1366"/>
      <c r="K8" s="1366"/>
      <c r="L8" s="1366"/>
      <c r="M8" s="1366"/>
      <c r="N8" s="1366"/>
      <c r="O8" s="1366"/>
      <c r="P8" s="1366"/>
      <c r="Q8" s="1366"/>
      <c r="R8" s="1366"/>
      <c r="S8" s="1366"/>
      <c r="T8" s="1367"/>
      <c r="U8" s="1362"/>
      <c r="V8" s="1363"/>
      <c r="W8" s="1423">
        <v>1</v>
      </c>
      <c r="X8" s="1363" t="s">
        <v>2402</v>
      </c>
      <c r="Y8" s="1363"/>
      <c r="Z8" s="1363"/>
      <c r="AA8" s="1363"/>
      <c r="AB8" s="1363"/>
      <c r="AC8" s="1363"/>
      <c r="AD8" s="1363"/>
      <c r="AE8" s="1407"/>
      <c r="AF8" s="1407"/>
      <c r="AG8" s="1363"/>
      <c r="AH8" s="1363"/>
      <c r="AI8" s="1364"/>
    </row>
    <row r="9" spans="1:35" x14ac:dyDescent="0.25">
      <c r="A9" s="323">
        <f>A5+0.01</f>
        <v>18.020000000000003</v>
      </c>
      <c r="B9" s="608"/>
      <c r="C9" s="1689" t="s">
        <v>2403</v>
      </c>
      <c r="D9" s="1360"/>
      <c r="E9" s="1360"/>
      <c r="F9" s="1360"/>
      <c r="G9" s="1360"/>
      <c r="H9" s="1360"/>
      <c r="I9" s="1360"/>
      <c r="J9" s="1360"/>
      <c r="K9" s="1360"/>
      <c r="L9" s="1360"/>
      <c r="M9" s="1360"/>
      <c r="N9" s="1360"/>
      <c r="O9" s="1360"/>
      <c r="P9" s="1360"/>
      <c r="Q9" s="1360"/>
      <c r="R9" s="1360"/>
      <c r="S9" s="1360"/>
      <c r="T9" s="1361"/>
      <c r="U9" s="1362"/>
      <c r="V9" s="1363"/>
      <c r="W9" s="1423">
        <v>2</v>
      </c>
      <c r="X9" s="1363" t="s">
        <v>2404</v>
      </c>
      <c r="Y9" s="1363"/>
      <c r="Z9" s="1363"/>
      <c r="AA9" s="1363"/>
      <c r="AB9" s="1363"/>
      <c r="AC9" s="1363"/>
      <c r="AD9" s="1407" t="s">
        <v>2405</v>
      </c>
      <c r="AE9" s="1363"/>
      <c r="AF9" s="1363"/>
      <c r="AG9" s="1363"/>
      <c r="AH9" s="1363"/>
      <c r="AI9" s="1364"/>
    </row>
    <row r="10" spans="1:35" ht="13.5" customHeight="1" x14ac:dyDescent="0.25">
      <c r="A10" s="1362"/>
      <c r="B10" s="1363" t="s">
        <v>1582</v>
      </c>
      <c r="C10" s="1363"/>
      <c r="D10" s="1363"/>
      <c r="E10" s="1363"/>
      <c r="F10" s="1363"/>
      <c r="G10" s="1363"/>
      <c r="H10" s="1363" t="s">
        <v>1583</v>
      </c>
      <c r="I10" s="1363"/>
      <c r="K10" s="1363"/>
      <c r="L10" s="1363"/>
      <c r="M10" s="1363"/>
      <c r="N10" s="1363" t="s">
        <v>1584</v>
      </c>
      <c r="O10" s="1363"/>
      <c r="P10" s="1363"/>
      <c r="Q10" s="1363"/>
      <c r="R10" s="1363"/>
      <c r="S10" s="1363"/>
      <c r="T10" s="1364"/>
      <c r="U10" s="1362"/>
      <c r="V10" s="1363"/>
      <c r="W10" s="1424">
        <v>3</v>
      </c>
      <c r="X10" s="3719" t="s">
        <v>2406</v>
      </c>
      <c r="Y10" s="3719"/>
      <c r="Z10" s="3719"/>
      <c r="AA10" s="3719"/>
      <c r="AB10" s="3719"/>
      <c r="AC10" s="1363"/>
      <c r="AD10" s="1363"/>
      <c r="AE10" s="1407"/>
      <c r="AF10" s="1363"/>
      <c r="AG10" s="1363"/>
      <c r="AH10" s="1363"/>
      <c r="AI10" s="1364"/>
    </row>
    <row r="11" spans="1:35" x14ac:dyDescent="0.25">
      <c r="A11" s="1365"/>
      <c r="B11" s="1366"/>
      <c r="C11" s="1366"/>
      <c r="D11" s="1366"/>
      <c r="E11" s="1366"/>
      <c r="F11" s="1366"/>
      <c r="G11" s="1366"/>
      <c r="H11" s="1366"/>
      <c r="I11" s="1366"/>
      <c r="J11" s="1366"/>
      <c r="K11" s="1366"/>
      <c r="L11" s="1366"/>
      <c r="M11" s="1366"/>
      <c r="N11" s="1366"/>
      <c r="O11" s="1366"/>
      <c r="P11" s="1366"/>
      <c r="Q11" s="1366"/>
      <c r="R11" s="1366"/>
      <c r="S11" s="1366"/>
      <c r="T11" s="1367"/>
      <c r="U11" s="1362"/>
      <c r="V11" s="1363"/>
      <c r="W11" s="1424">
        <v>4</v>
      </c>
      <c r="X11" s="3719"/>
      <c r="Y11" s="3719"/>
      <c r="Z11" s="3719"/>
      <c r="AA11" s="3719"/>
      <c r="AB11" s="3719"/>
      <c r="AC11" s="1363"/>
      <c r="AD11" s="1363"/>
      <c r="AE11" s="1363"/>
      <c r="AF11" s="1363"/>
      <c r="AG11" s="1363"/>
      <c r="AH11" s="1363"/>
      <c r="AI11" s="1364"/>
    </row>
    <row r="12" spans="1:35" x14ac:dyDescent="0.25">
      <c r="A12" s="323">
        <f>A9+0.01</f>
        <v>18.030000000000005</v>
      </c>
      <c r="B12" s="608"/>
      <c r="C12" s="1399" t="s">
        <v>2407</v>
      </c>
      <c r="D12" s="1360"/>
      <c r="E12" s="1360"/>
      <c r="F12" s="1360"/>
      <c r="G12" s="1360"/>
      <c r="H12" s="1360"/>
      <c r="I12" s="1360"/>
      <c r="J12" s="1360"/>
      <c r="K12" s="1360"/>
      <c r="L12" s="1360"/>
      <c r="M12" s="1360"/>
      <c r="N12" s="1360"/>
      <c r="O12" s="1360"/>
      <c r="P12" s="1360"/>
      <c r="Q12" s="1360"/>
      <c r="R12" s="1360"/>
      <c r="S12" s="1360"/>
      <c r="T12" s="1361"/>
      <c r="U12" s="1362"/>
      <c r="V12" s="1363"/>
      <c r="W12" s="1423">
        <v>5</v>
      </c>
      <c r="X12" s="1363" t="s">
        <v>1601</v>
      </c>
      <c r="Y12" s="1363"/>
      <c r="Z12" s="1363"/>
      <c r="AA12" s="1363"/>
      <c r="AB12" s="1363"/>
      <c r="AC12" s="1363"/>
      <c r="AD12" s="1363" t="s">
        <v>2408</v>
      </c>
      <c r="AE12" s="1363"/>
      <c r="AF12" s="1363"/>
      <c r="AG12" s="1363"/>
      <c r="AH12" s="1363"/>
      <c r="AI12" s="1364"/>
    </row>
    <row r="13" spans="1:35" x14ac:dyDescent="0.25">
      <c r="A13" s="1362"/>
      <c r="B13" s="1363"/>
      <c r="C13" s="1363">
        <v>1</v>
      </c>
      <c r="D13" s="1363" t="s">
        <v>2409</v>
      </c>
      <c r="E13" s="1363"/>
      <c r="F13" s="1363"/>
      <c r="G13" s="1363"/>
      <c r="H13" s="1363"/>
      <c r="I13" s="1363"/>
      <c r="J13" s="1363"/>
      <c r="K13" s="1363"/>
      <c r="L13" s="1363"/>
      <c r="M13" s="1363"/>
      <c r="N13" s="1363"/>
      <c r="O13" s="1363"/>
      <c r="P13" s="1363"/>
      <c r="Q13" s="1363"/>
      <c r="R13" s="1363"/>
      <c r="S13" s="1363"/>
      <c r="T13" s="1364"/>
      <c r="U13" s="1362"/>
      <c r="V13" s="1363"/>
      <c r="W13" s="1423">
        <v>6</v>
      </c>
      <c r="X13" s="138" t="str">
        <f>CONCATENATE("Aucun ►(",TEXT(U20,"0.00"),")")</f>
        <v>Aucun ►(18.09)</v>
      </c>
      <c r="Y13" s="1363"/>
      <c r="Z13" s="1363"/>
      <c r="AA13" s="1363"/>
      <c r="AB13" s="1363"/>
      <c r="AC13" s="1363"/>
      <c r="AD13" s="1363"/>
      <c r="AE13" s="1363"/>
      <c r="AF13" s="1363"/>
      <c r="AG13" s="1363"/>
      <c r="AH13" s="1363"/>
      <c r="AI13" s="1364"/>
    </row>
    <row r="14" spans="1:35" x14ac:dyDescent="0.25">
      <c r="A14" s="1362"/>
      <c r="B14" s="1363"/>
      <c r="C14" s="1363">
        <v>2</v>
      </c>
      <c r="D14" s="1363" t="s">
        <v>2410</v>
      </c>
      <c r="E14" s="1363"/>
      <c r="F14" s="1363"/>
      <c r="G14" s="1363"/>
      <c r="H14" s="1363"/>
      <c r="I14" s="1363"/>
      <c r="J14" s="1363"/>
      <c r="K14" s="1363"/>
      <c r="L14" s="3764"/>
      <c r="M14" s="3764"/>
      <c r="N14" s="1363"/>
      <c r="O14" s="1363"/>
      <c r="P14" s="1363"/>
      <c r="Q14" s="1363"/>
      <c r="R14" s="1363"/>
      <c r="S14" s="1363"/>
      <c r="T14" s="1364"/>
      <c r="U14" s="1365"/>
      <c r="V14" s="1366"/>
      <c r="W14" s="1366"/>
      <c r="X14" s="1366"/>
      <c r="Y14" s="1366"/>
      <c r="Z14" s="1366"/>
      <c r="AA14" s="1366"/>
      <c r="AB14" s="1366"/>
      <c r="AC14" s="1366"/>
      <c r="AD14" s="1366"/>
      <c r="AE14" s="1366"/>
      <c r="AF14" s="1366"/>
      <c r="AG14" s="1366"/>
      <c r="AH14" s="1366"/>
      <c r="AI14" s="1367"/>
    </row>
    <row r="15" spans="1:35" x14ac:dyDescent="0.25">
      <c r="A15" s="1362"/>
      <c r="B15" s="1363"/>
      <c r="C15" s="1363">
        <v>3</v>
      </c>
      <c r="D15" s="1363" t="s">
        <v>2411</v>
      </c>
      <c r="E15" s="1363"/>
      <c r="F15" s="1363"/>
      <c r="G15" s="1363"/>
      <c r="H15" s="1363"/>
      <c r="I15" s="1363"/>
      <c r="J15" s="1363"/>
      <c r="K15" s="1363" t="s">
        <v>346</v>
      </c>
      <c r="L15" s="1363"/>
      <c r="M15" s="1363"/>
      <c r="N15" s="1363"/>
      <c r="O15" s="1363"/>
      <c r="P15" s="1363"/>
      <c r="Q15" s="1363"/>
      <c r="R15" s="1363"/>
      <c r="S15" s="1363"/>
      <c r="T15" s="1364"/>
      <c r="U15" s="3577">
        <f>U5+0.01</f>
        <v>18.080000000000013</v>
      </c>
      <c r="V15" s="3578"/>
      <c r="W15" s="1399" t="s">
        <v>2412</v>
      </c>
      <c r="X15" s="1360"/>
      <c r="Y15" s="1360"/>
      <c r="Z15" s="1360"/>
      <c r="AA15" s="1360"/>
      <c r="AB15" s="1360"/>
      <c r="AC15" s="1360"/>
      <c r="AD15" s="1360"/>
      <c r="AE15" s="1360"/>
      <c r="AF15" s="1360"/>
      <c r="AG15" s="1360"/>
      <c r="AH15" s="1360"/>
      <c r="AI15" s="1361"/>
    </row>
    <row r="16" spans="1:35" x14ac:dyDescent="0.25">
      <c r="A16" s="1362"/>
      <c r="B16" s="1363"/>
      <c r="C16" s="1363">
        <v>4</v>
      </c>
      <c r="D16" s="1363" t="s">
        <v>2413</v>
      </c>
      <c r="E16" s="1363"/>
      <c r="F16" s="1363"/>
      <c r="G16" s="1363"/>
      <c r="H16" s="1363"/>
      <c r="I16" s="1363"/>
      <c r="J16" s="1363"/>
      <c r="K16" s="1363"/>
      <c r="L16" s="1363"/>
      <c r="M16" s="1363"/>
      <c r="N16" s="1363"/>
      <c r="O16" s="1363"/>
      <c r="P16" s="1363"/>
      <c r="Q16" s="1363"/>
      <c r="R16" s="1363"/>
      <c r="S16" s="1363"/>
      <c r="T16" s="1364"/>
      <c r="U16" s="1362"/>
      <c r="V16" s="1363"/>
      <c r="W16" s="1363">
        <v>1</v>
      </c>
      <c r="X16" s="1363" t="s">
        <v>2414</v>
      </c>
      <c r="Y16" s="1363"/>
      <c r="Z16" s="1363"/>
      <c r="AA16" s="1363"/>
      <c r="AB16" s="1363"/>
      <c r="AC16" s="1363"/>
      <c r="AD16" s="1368"/>
      <c r="AE16" s="1369"/>
      <c r="AF16" s="1369"/>
      <c r="AG16" s="1369"/>
      <c r="AH16" s="1370"/>
      <c r="AI16" s="1364"/>
    </row>
    <row r="17" spans="1:35" x14ac:dyDescent="0.25">
      <c r="A17" s="1362"/>
      <c r="B17" s="1363"/>
      <c r="C17" s="1363">
        <v>5</v>
      </c>
      <c r="D17" s="1363" t="s">
        <v>2415</v>
      </c>
      <c r="E17" s="1363"/>
      <c r="F17" s="1363"/>
      <c r="G17" s="1363"/>
      <c r="H17" s="1363"/>
      <c r="I17" s="1363"/>
      <c r="J17" s="1363"/>
      <c r="K17" s="1363"/>
      <c r="L17" s="1363"/>
      <c r="M17" s="1363"/>
      <c r="N17" s="1363"/>
      <c r="O17" s="1363"/>
      <c r="P17" s="1363"/>
      <c r="Q17" s="1363"/>
      <c r="R17" s="1363"/>
      <c r="S17" s="1363"/>
      <c r="T17" s="1364"/>
      <c r="U17" s="1362"/>
      <c r="V17" s="1363"/>
      <c r="W17" s="1363">
        <v>2</v>
      </c>
      <c r="X17" s="1363" t="s">
        <v>2416</v>
      </c>
      <c r="Y17" s="1363"/>
      <c r="Z17" s="1363"/>
      <c r="AA17" s="1363"/>
      <c r="AB17" s="1363"/>
      <c r="AC17" s="1363"/>
      <c r="AD17" s="1368"/>
      <c r="AE17" s="1369"/>
      <c r="AF17" s="1369"/>
      <c r="AG17" s="1369"/>
      <c r="AH17" s="1370"/>
      <c r="AI17" s="1364"/>
    </row>
    <row r="18" spans="1:35" x14ac:dyDescent="0.25">
      <c r="A18" s="1362"/>
      <c r="B18" s="1363"/>
      <c r="C18" s="1363">
        <v>6</v>
      </c>
      <c r="D18" s="1363" t="s">
        <v>2417</v>
      </c>
      <c r="E18" s="1363"/>
      <c r="F18" s="1363"/>
      <c r="G18" s="1363"/>
      <c r="H18" s="1363"/>
      <c r="I18" s="1363"/>
      <c r="J18" s="1363"/>
      <c r="K18" s="1363"/>
      <c r="L18" s="1363"/>
      <c r="M18" s="1363"/>
      <c r="N18" s="1363"/>
      <c r="O18" s="1363"/>
      <c r="P18" s="1363"/>
      <c r="Q18" s="1363"/>
      <c r="R18" s="1363"/>
      <c r="S18" s="1363"/>
      <c r="T18" s="1364"/>
      <c r="U18" s="1362"/>
      <c r="V18" s="1363"/>
      <c r="W18" s="1363">
        <v>3</v>
      </c>
      <c r="X18" s="1363" t="s">
        <v>2418</v>
      </c>
      <c r="Y18" s="1363"/>
      <c r="Z18" s="1363"/>
      <c r="AA18" s="1363"/>
      <c r="AB18" s="1363"/>
      <c r="AC18" s="1363"/>
      <c r="AD18" s="1368"/>
      <c r="AE18" s="1369"/>
      <c r="AF18" s="1369"/>
      <c r="AG18" s="1369"/>
      <c r="AH18" s="1370"/>
      <c r="AI18" s="1364"/>
    </row>
    <row r="19" spans="1:35" x14ac:dyDescent="0.25">
      <c r="A19" s="1362"/>
      <c r="B19" s="1363"/>
      <c r="C19" s="1363">
        <v>7</v>
      </c>
      <c r="D19" s="1363" t="s">
        <v>1601</v>
      </c>
      <c r="E19" s="1363"/>
      <c r="F19" s="1363"/>
      <c r="G19" s="1363"/>
      <c r="H19" s="1363"/>
      <c r="I19" s="1363"/>
      <c r="J19" s="1363"/>
      <c r="K19" s="1363"/>
      <c r="L19" s="1363"/>
      <c r="M19" s="1363"/>
      <c r="N19" s="1363"/>
      <c r="O19" s="1363"/>
      <c r="P19" s="1363"/>
      <c r="Q19" s="1363"/>
      <c r="R19" s="1363"/>
      <c r="S19" s="1363"/>
      <c r="T19" s="1363"/>
      <c r="U19" s="1365"/>
      <c r="V19" s="1366"/>
      <c r="W19" s="1366"/>
      <c r="X19" s="1366"/>
      <c r="Y19" s="1366"/>
      <c r="Z19" s="1366"/>
      <c r="AA19" s="1366"/>
      <c r="AB19" s="1366"/>
      <c r="AC19" s="1366"/>
      <c r="AD19" s="1366"/>
      <c r="AE19" s="1366"/>
      <c r="AF19" s="1366"/>
      <c r="AG19" s="1366"/>
      <c r="AH19" s="1366"/>
      <c r="AI19" s="1367"/>
    </row>
    <row r="20" spans="1:35" ht="13.5" customHeight="1" x14ac:dyDescent="0.25">
      <c r="A20" s="1365"/>
      <c r="B20" s="1366"/>
      <c r="C20" s="1366"/>
      <c r="D20" s="1366"/>
      <c r="E20" s="1366"/>
      <c r="F20" s="1366"/>
      <c r="G20" s="1366"/>
      <c r="H20" s="1366"/>
      <c r="I20" s="1366"/>
      <c r="J20" s="1366"/>
      <c r="K20" s="1366"/>
      <c r="L20" s="1366"/>
      <c r="M20" s="1366"/>
      <c r="N20" s="1366"/>
      <c r="O20" s="1366"/>
      <c r="P20" s="1366"/>
      <c r="Q20" s="1366"/>
      <c r="R20" s="1366"/>
      <c r="S20" s="1366"/>
      <c r="T20" s="1366"/>
      <c r="U20" s="3767">
        <f>U15+0.01</f>
        <v>18.090000000000014</v>
      </c>
      <c r="V20" s="3768"/>
      <c r="W20" s="3765" t="s">
        <v>2419</v>
      </c>
      <c r="X20" s="3765"/>
      <c r="Y20" s="3765"/>
      <c r="Z20" s="3765"/>
      <c r="AA20" s="3765"/>
      <c r="AB20" s="3765"/>
      <c r="AC20" s="3765"/>
      <c r="AD20" s="3765"/>
      <c r="AE20" s="3765"/>
      <c r="AF20" s="3765"/>
      <c r="AG20" s="3765"/>
      <c r="AH20" s="3765"/>
      <c r="AI20" s="1361"/>
    </row>
    <row r="21" spans="1:35" x14ac:dyDescent="0.25">
      <c r="A21" s="323">
        <f>A12+0.01</f>
        <v>18.040000000000006</v>
      </c>
      <c r="B21" s="608"/>
      <c r="C21" s="1399" t="s">
        <v>2420</v>
      </c>
      <c r="D21" s="1360"/>
      <c r="E21" s="1360"/>
      <c r="F21" s="1360"/>
      <c r="G21" s="1360"/>
      <c r="H21" s="1360"/>
      <c r="I21" s="1360"/>
      <c r="J21" s="1360"/>
      <c r="K21" s="1360"/>
      <c r="L21" s="1360"/>
      <c r="M21" s="1360"/>
      <c r="N21" s="1360"/>
      <c r="O21" s="1360"/>
      <c r="P21" s="1360"/>
      <c r="Q21" s="1360"/>
      <c r="R21" s="1360"/>
      <c r="S21" s="1360"/>
      <c r="T21" s="1360"/>
      <c r="U21" s="1907"/>
      <c r="V21" s="2248"/>
      <c r="W21" s="3766"/>
      <c r="X21" s="3766"/>
      <c r="Y21" s="3766"/>
      <c r="Z21" s="3766"/>
      <c r="AA21" s="3766"/>
      <c r="AB21" s="3766"/>
      <c r="AC21" s="3766"/>
      <c r="AD21" s="3766"/>
      <c r="AE21" s="3766"/>
      <c r="AF21" s="3766"/>
      <c r="AG21" s="3766"/>
      <c r="AH21" s="3766"/>
      <c r="AI21" s="1364"/>
    </row>
    <row r="22" spans="1:35" x14ac:dyDescent="0.25">
      <c r="A22" s="1362"/>
      <c r="B22" s="1363"/>
      <c r="C22" s="1363">
        <v>1</v>
      </c>
      <c r="D22" s="1363" t="s">
        <v>2421</v>
      </c>
      <c r="E22" s="1363"/>
      <c r="F22" s="1363"/>
      <c r="G22" s="1363"/>
      <c r="H22" s="1363"/>
      <c r="I22" s="1363"/>
      <c r="J22" s="1363"/>
      <c r="K22" s="1363"/>
      <c r="L22" s="1363"/>
      <c r="M22" s="1363"/>
      <c r="N22" s="1363"/>
      <c r="O22" s="1363"/>
      <c r="P22" s="1363"/>
      <c r="Q22" s="1363"/>
      <c r="R22" s="1363"/>
      <c r="S22" s="1363"/>
      <c r="T22" s="1363"/>
      <c r="U22" s="1907"/>
      <c r="V22" s="2248"/>
      <c r="W22" s="2248">
        <v>1</v>
      </c>
      <c r="X22" s="2248" t="s">
        <v>1197</v>
      </c>
      <c r="Y22" s="2248"/>
      <c r="Z22" s="2248"/>
      <c r="AA22" s="2248"/>
      <c r="AB22" s="2248" t="s">
        <v>346</v>
      </c>
      <c r="AC22" s="2248"/>
      <c r="AD22" s="2248"/>
      <c r="AE22" s="2248"/>
      <c r="AF22" s="2248"/>
      <c r="AG22" s="2248"/>
      <c r="AH22" s="2248"/>
      <c r="AI22" s="1364"/>
    </row>
    <row r="23" spans="1:35" x14ac:dyDescent="0.25">
      <c r="A23" s="1362"/>
      <c r="B23" s="1363"/>
      <c r="C23" s="1363">
        <v>2</v>
      </c>
      <c r="D23" s="138" t="s">
        <v>2422</v>
      </c>
      <c r="E23" s="1363"/>
      <c r="F23" s="1363"/>
      <c r="G23" s="1363"/>
      <c r="H23" s="1363"/>
      <c r="I23" s="1363"/>
      <c r="J23" s="1363"/>
      <c r="K23" s="1363"/>
      <c r="L23" s="1363"/>
      <c r="M23" s="1363"/>
      <c r="N23" s="1363"/>
      <c r="O23" s="1363"/>
      <c r="P23" s="1363"/>
      <c r="Q23" s="1363"/>
      <c r="R23" s="1363"/>
      <c r="S23" s="1363"/>
      <c r="T23" s="1363"/>
      <c r="U23" s="1907"/>
      <c r="V23" s="2248"/>
      <c r="W23" s="2248">
        <v>2</v>
      </c>
      <c r="X23" s="2248" t="str">
        <f>CONCATENATE("Non ►(",TEXT(U30,"0.00"), ")")</f>
        <v>Non ►(18.11)</v>
      </c>
      <c r="Y23" s="2248"/>
      <c r="Z23" s="2248"/>
      <c r="AA23" s="2248"/>
      <c r="AB23" s="2248"/>
      <c r="AC23" s="2248"/>
      <c r="AD23" s="2248"/>
      <c r="AE23" s="2248"/>
      <c r="AF23" s="2248"/>
      <c r="AG23" s="2248"/>
      <c r="AH23" s="2248"/>
      <c r="AI23" s="1364"/>
    </row>
    <row r="24" spans="1:35" x14ac:dyDescent="0.25">
      <c r="A24" s="1362"/>
      <c r="B24" s="1363"/>
      <c r="C24" s="1363">
        <v>3</v>
      </c>
      <c r="D24" s="1363" t="s">
        <v>1699</v>
      </c>
      <c r="E24" s="1363"/>
      <c r="F24" s="1363"/>
      <c r="G24" s="1363"/>
      <c r="H24" s="1363"/>
      <c r="I24" s="1363"/>
      <c r="J24" s="1363"/>
      <c r="K24" s="1363" t="s">
        <v>346</v>
      </c>
      <c r="L24" s="1363"/>
      <c r="M24" s="1363"/>
      <c r="N24" s="1363"/>
      <c r="O24" s="1363"/>
      <c r="P24" s="1363"/>
      <c r="Q24" s="1363"/>
      <c r="R24" s="1363"/>
      <c r="S24" s="1363"/>
      <c r="T24" s="1364"/>
      <c r="U24" s="1365"/>
      <c r="V24" s="1366"/>
      <c r="W24" s="1366"/>
      <c r="X24" s="1366"/>
      <c r="Y24" s="1366"/>
      <c r="Z24" s="1366"/>
      <c r="AA24" s="1366"/>
      <c r="AB24" s="1366"/>
      <c r="AC24" s="1366"/>
      <c r="AD24" s="1366"/>
      <c r="AE24" s="1366"/>
      <c r="AF24" s="1366"/>
      <c r="AG24" s="1366"/>
      <c r="AH24" s="1366"/>
      <c r="AI24" s="1367"/>
    </row>
    <row r="25" spans="1:35" ht="13.5" customHeight="1" x14ac:dyDescent="0.25">
      <c r="A25" s="1365"/>
      <c r="B25" s="1366"/>
      <c r="C25" s="1366"/>
      <c r="D25" s="1366"/>
      <c r="E25" s="1366"/>
      <c r="F25" s="1366"/>
      <c r="G25" s="1366"/>
      <c r="H25" s="1366"/>
      <c r="I25" s="1366"/>
      <c r="J25" s="1366"/>
      <c r="K25" s="1366"/>
      <c r="L25" s="1366"/>
      <c r="M25" s="1366"/>
      <c r="N25" s="1366"/>
      <c r="O25" s="1366"/>
      <c r="P25" s="1366"/>
      <c r="Q25" s="1366"/>
      <c r="R25" s="1366"/>
      <c r="S25" s="1366"/>
      <c r="T25" s="1367"/>
      <c r="U25" s="3769">
        <f>U20+0.01</f>
        <v>18.100000000000016</v>
      </c>
      <c r="V25" s="3761"/>
      <c r="W25" s="3759" t="s">
        <v>2423</v>
      </c>
      <c r="X25" s="3759"/>
      <c r="Y25" s="3759"/>
      <c r="Z25" s="3759"/>
      <c r="AA25" s="3759"/>
      <c r="AB25" s="3759"/>
      <c r="AC25" s="3759"/>
      <c r="AD25" s="3759"/>
      <c r="AE25" s="3759"/>
      <c r="AF25" s="3759"/>
      <c r="AG25" s="3759"/>
      <c r="AH25" s="3759"/>
      <c r="AI25" s="2249"/>
    </row>
    <row r="26" spans="1:35" x14ac:dyDescent="0.25">
      <c r="A26" s="323">
        <f>A21+0.01</f>
        <v>18.050000000000008</v>
      </c>
      <c r="B26" s="608"/>
      <c r="C26" s="1360" t="s">
        <v>2424</v>
      </c>
      <c r="D26" s="1360"/>
      <c r="E26" s="1360"/>
      <c r="F26" s="1360"/>
      <c r="G26" s="1360"/>
      <c r="H26" s="1360"/>
      <c r="I26" s="1360"/>
      <c r="J26" s="1360"/>
      <c r="K26" s="1360"/>
      <c r="L26" s="1360"/>
      <c r="M26" s="1360"/>
      <c r="N26" s="1360"/>
      <c r="O26" s="1360"/>
      <c r="P26" s="1360"/>
      <c r="Q26" s="1360"/>
      <c r="R26" s="1360"/>
      <c r="S26" s="1360"/>
      <c r="T26" s="1361"/>
      <c r="U26" s="2579"/>
      <c r="V26" s="2580"/>
      <c r="W26" s="3760"/>
      <c r="X26" s="3760"/>
      <c r="Y26" s="3760"/>
      <c r="Z26" s="3760"/>
      <c r="AA26" s="3760"/>
      <c r="AB26" s="3760"/>
      <c r="AC26" s="3760"/>
      <c r="AD26" s="3760"/>
      <c r="AE26" s="3760"/>
      <c r="AF26" s="3760"/>
      <c r="AG26" s="3760"/>
      <c r="AH26" s="3760"/>
      <c r="AI26" s="2250"/>
    </row>
    <row r="27" spans="1:35" x14ac:dyDescent="0.25">
      <c r="A27" s="1362"/>
      <c r="B27" s="1363"/>
      <c r="C27" s="1363">
        <v>1</v>
      </c>
      <c r="D27" s="1363" t="s">
        <v>2425</v>
      </c>
      <c r="E27" s="1363"/>
      <c r="F27" s="1363"/>
      <c r="G27" s="1363"/>
      <c r="H27" s="1363"/>
      <c r="I27" s="1363"/>
      <c r="J27" s="1363"/>
      <c r="K27" s="1363"/>
      <c r="L27" s="1363"/>
      <c r="M27" s="1363"/>
      <c r="N27" s="1363"/>
      <c r="O27" s="1363"/>
      <c r="P27" s="1363"/>
      <c r="Q27" s="1363"/>
      <c r="R27" s="1363"/>
      <c r="S27" s="1363"/>
      <c r="T27" s="1364"/>
      <c r="U27" s="2579"/>
      <c r="V27" s="2580"/>
      <c r="W27" s="2580"/>
      <c r="X27" s="2580"/>
      <c r="Y27" s="2580"/>
      <c r="Z27" s="2580"/>
      <c r="AA27" s="2580"/>
      <c r="AB27" s="2580"/>
      <c r="AC27" s="2580"/>
      <c r="AD27" s="2580"/>
      <c r="AE27" s="2580"/>
      <c r="AF27" s="2580"/>
      <c r="AG27" s="2580"/>
      <c r="AH27" s="2580"/>
      <c r="AI27" s="2250"/>
    </row>
    <row r="28" spans="1:35" x14ac:dyDescent="0.25">
      <c r="A28" s="1362"/>
      <c r="B28" s="1363"/>
      <c r="C28" s="1363">
        <v>2</v>
      </c>
      <c r="D28" s="1363" t="s">
        <v>2426</v>
      </c>
      <c r="E28" s="1363"/>
      <c r="F28" s="1363"/>
      <c r="G28" s="1363"/>
      <c r="H28" s="1363"/>
      <c r="I28" s="1363"/>
      <c r="J28" s="1363"/>
      <c r="K28" s="1363" t="s">
        <v>346</v>
      </c>
      <c r="L28" s="1363"/>
      <c r="M28" s="1363"/>
      <c r="N28" s="1363"/>
      <c r="O28" s="1363"/>
      <c r="P28" s="1363"/>
      <c r="Q28" s="1363"/>
      <c r="R28" s="1363"/>
      <c r="S28" s="1363"/>
      <c r="T28" s="1364"/>
      <c r="U28" s="2579"/>
      <c r="V28" s="2580"/>
      <c r="W28" s="2580"/>
      <c r="X28" s="2580"/>
      <c r="Y28" s="2580"/>
      <c r="Z28" s="2580"/>
      <c r="AA28" s="2580"/>
      <c r="AB28" s="2580"/>
      <c r="AC28" s="2580"/>
      <c r="AD28" s="2580"/>
      <c r="AE28" s="2580"/>
      <c r="AF28" s="2580"/>
      <c r="AG28" s="2580"/>
      <c r="AH28" s="2580"/>
      <c r="AI28" s="2250"/>
    </row>
    <row r="29" spans="1:35" x14ac:dyDescent="0.25">
      <c r="A29" s="1362"/>
      <c r="B29" s="1363"/>
      <c r="C29" s="1363">
        <v>3</v>
      </c>
      <c r="D29" s="1363" t="s">
        <v>2427</v>
      </c>
      <c r="E29" s="1363"/>
      <c r="F29" s="1363"/>
      <c r="G29" s="1363"/>
      <c r="H29" s="1363"/>
      <c r="I29" s="1363"/>
      <c r="J29" s="1363"/>
      <c r="K29" s="1363"/>
      <c r="L29" s="1363"/>
      <c r="M29" s="1363"/>
      <c r="N29" s="1363"/>
      <c r="O29" s="1363"/>
      <c r="P29" s="1363"/>
      <c r="Q29" s="1363"/>
      <c r="R29" s="1363"/>
      <c r="S29" s="1363"/>
      <c r="T29" s="1364"/>
      <c r="U29" s="2581"/>
      <c r="V29" s="2582"/>
      <c r="W29" s="2582"/>
      <c r="X29" s="2582"/>
      <c r="Y29" s="2582"/>
      <c r="Z29" s="2582"/>
      <c r="AA29" s="2582"/>
      <c r="AB29" s="2582"/>
      <c r="AC29" s="2582"/>
      <c r="AD29" s="2582"/>
      <c r="AE29" s="2582"/>
      <c r="AF29" s="2582"/>
      <c r="AG29" s="2582"/>
      <c r="AH29" s="2582"/>
      <c r="AI29" s="2251"/>
    </row>
    <row r="30" spans="1:35" x14ac:dyDescent="0.25">
      <c r="A30" s="1362"/>
      <c r="B30" s="1363"/>
      <c r="C30" s="1363">
        <v>4</v>
      </c>
      <c r="D30" s="1363" t="s">
        <v>2428</v>
      </c>
      <c r="E30" s="1363"/>
      <c r="F30" s="1363"/>
      <c r="G30" s="1363"/>
      <c r="H30" s="1363"/>
      <c r="I30" s="1363"/>
      <c r="J30" s="1363"/>
      <c r="K30" s="1363"/>
      <c r="L30" s="1363"/>
      <c r="M30" s="1363"/>
      <c r="N30" s="1363"/>
      <c r="O30" s="1363"/>
      <c r="P30" s="1363"/>
      <c r="Q30" s="1363"/>
      <c r="R30" s="1363"/>
      <c r="S30" s="1363"/>
      <c r="T30" s="1364"/>
      <c r="U30" s="3769">
        <f>U25+0.01</f>
        <v>18.110000000000017</v>
      </c>
      <c r="V30" s="3761"/>
      <c r="W30" s="3762" t="s">
        <v>2643</v>
      </c>
      <c r="X30" s="3762"/>
      <c r="Y30" s="3762"/>
      <c r="Z30" s="3762"/>
      <c r="AA30" s="3762"/>
      <c r="AB30" s="3762"/>
      <c r="AC30" s="3762"/>
      <c r="AD30" s="3762"/>
      <c r="AE30" s="3762"/>
      <c r="AF30" s="3762"/>
      <c r="AG30" s="3762"/>
      <c r="AH30" s="2583"/>
      <c r="AI30" s="1361"/>
    </row>
    <row r="31" spans="1:35" x14ac:dyDescent="0.25">
      <c r="A31" s="1362"/>
      <c r="B31" s="1363"/>
      <c r="C31" s="1363"/>
      <c r="D31" s="1363"/>
      <c r="E31" s="1363"/>
      <c r="F31" s="1363"/>
      <c r="G31" s="1363"/>
      <c r="H31" s="1363"/>
      <c r="I31" s="1363"/>
      <c r="J31" s="1363"/>
      <c r="K31" s="1363"/>
      <c r="L31" s="1363"/>
      <c r="M31" s="1363"/>
      <c r="N31" s="1363"/>
      <c r="O31" s="1363"/>
      <c r="P31" s="1363"/>
      <c r="Q31" s="1363"/>
      <c r="R31" s="1363"/>
      <c r="S31" s="1363"/>
      <c r="T31" s="1364"/>
      <c r="U31" s="2579"/>
      <c r="V31" s="2580"/>
      <c r="W31" s="3763"/>
      <c r="X31" s="3763"/>
      <c r="Y31" s="3763"/>
      <c r="Z31" s="3763"/>
      <c r="AA31" s="3763"/>
      <c r="AB31" s="3763"/>
      <c r="AC31" s="3763"/>
      <c r="AD31" s="3763"/>
      <c r="AE31" s="3763"/>
      <c r="AF31" s="3763"/>
      <c r="AG31" s="3763"/>
      <c r="AH31" s="2580"/>
      <c r="AI31" s="1364"/>
    </row>
    <row r="32" spans="1:35" x14ac:dyDescent="0.25">
      <c r="A32" s="323">
        <f>A26+0.01</f>
        <v>18.060000000000009</v>
      </c>
      <c r="B32" s="1360" t="s">
        <v>2429</v>
      </c>
      <c r="C32" s="1360"/>
      <c r="D32" s="1360"/>
      <c r="E32" s="1360"/>
      <c r="F32" s="1360"/>
      <c r="G32" s="1360"/>
      <c r="H32" s="1360"/>
      <c r="I32" s="1360"/>
      <c r="J32" s="1360"/>
      <c r="K32" s="1360"/>
      <c r="L32" s="1360"/>
      <c r="M32" s="1360"/>
      <c r="N32" s="1360"/>
      <c r="O32" s="1360"/>
      <c r="P32" s="1360"/>
      <c r="Q32" s="1360"/>
      <c r="R32" s="1360"/>
      <c r="S32" s="1360"/>
      <c r="T32" s="1361"/>
      <c r="U32" s="2584"/>
      <c r="V32" s="2584"/>
      <c r="W32" s="2580"/>
      <c r="X32" s="2580"/>
      <c r="Y32" s="2580"/>
      <c r="Z32" s="2580"/>
      <c r="AA32" s="2580"/>
      <c r="AB32" s="2580"/>
      <c r="AC32" s="2580"/>
      <c r="AD32" s="2580"/>
      <c r="AE32" s="2580"/>
      <c r="AF32" s="2580"/>
      <c r="AG32" s="2580"/>
      <c r="AH32" s="2580"/>
      <c r="AI32" s="1364"/>
    </row>
    <row r="33" spans="1:35" ht="15" customHeight="1" x14ac:dyDescent="0.25">
      <c r="A33" s="1362"/>
      <c r="B33" s="3770" t="s">
        <v>2430</v>
      </c>
      <c r="C33" s="3770"/>
      <c r="D33" s="3770"/>
      <c r="E33" s="3770"/>
      <c r="F33" s="3770"/>
      <c r="G33" s="3770"/>
      <c r="H33" s="3770"/>
      <c r="I33" s="3770"/>
      <c r="J33" s="3770"/>
      <c r="K33" s="3770"/>
      <c r="L33" s="3770"/>
      <c r="M33" s="3770"/>
      <c r="N33" s="3770"/>
      <c r="O33" s="3770"/>
      <c r="P33" s="3770"/>
      <c r="Q33" s="3770"/>
      <c r="R33" s="3770"/>
      <c r="S33" s="3770"/>
      <c r="T33" s="3771"/>
      <c r="U33" s="2582"/>
      <c r="V33" s="2582"/>
      <c r="W33" s="2582"/>
      <c r="X33" s="2582"/>
      <c r="Y33" s="2582"/>
      <c r="Z33" s="2582"/>
      <c r="AA33" s="2582"/>
      <c r="AB33" s="2582"/>
      <c r="AC33" s="2582"/>
      <c r="AD33" s="2582"/>
      <c r="AE33" s="2582"/>
      <c r="AF33" s="2582"/>
      <c r="AG33" s="2582"/>
      <c r="AH33" s="2582"/>
      <c r="AI33" s="1367"/>
    </row>
    <row r="34" spans="1:35" x14ac:dyDescent="0.25">
      <c r="A34" s="1362"/>
      <c r="B34" s="1363"/>
      <c r="C34" s="2561"/>
      <c r="D34" s="2561"/>
      <c r="E34" s="2561"/>
      <c r="F34" s="2561"/>
      <c r="G34" s="2561"/>
      <c r="H34" s="2561"/>
      <c r="I34" s="2561"/>
      <c r="J34" s="2561"/>
      <c r="K34" s="2561"/>
      <c r="L34" s="2561"/>
      <c r="M34" s="2561"/>
      <c r="N34" s="2561"/>
      <c r="O34" s="2561"/>
      <c r="P34" s="2561"/>
      <c r="Q34" s="2561"/>
      <c r="R34" s="2561"/>
      <c r="S34" s="2561"/>
      <c r="T34" s="2560"/>
      <c r="U34" s="3761">
        <f>U30+0.01</f>
        <v>18.120000000000019</v>
      </c>
      <c r="V34" s="3761"/>
      <c r="W34" s="3762" t="s">
        <v>2644</v>
      </c>
      <c r="X34" s="3762"/>
      <c r="Y34" s="3762"/>
      <c r="Z34" s="3762"/>
      <c r="AA34" s="3762"/>
      <c r="AB34" s="3762"/>
      <c r="AC34" s="3762"/>
      <c r="AD34" s="3762"/>
      <c r="AE34" s="3762"/>
      <c r="AF34" s="3762"/>
      <c r="AG34" s="3762"/>
      <c r="AH34" s="3762"/>
      <c r="AI34" s="1361"/>
    </row>
    <row r="35" spans="1:35" x14ac:dyDescent="0.25">
      <c r="A35" s="1362"/>
      <c r="B35" s="3721" t="s">
        <v>2431</v>
      </c>
      <c r="C35" s="3723"/>
      <c r="D35" s="3721" t="s">
        <v>2432</v>
      </c>
      <c r="E35" s="3723"/>
      <c r="F35" s="3721" t="s">
        <v>2433</v>
      </c>
      <c r="G35" s="3723"/>
      <c r="H35" s="3721" t="s">
        <v>2434</v>
      </c>
      <c r="I35" s="3723"/>
      <c r="J35" s="3721" t="s">
        <v>2435</v>
      </c>
      <c r="K35" s="3723"/>
      <c r="L35" s="3721" t="s">
        <v>2436</v>
      </c>
      <c r="M35" s="3723"/>
      <c r="N35" s="1363"/>
      <c r="O35" s="1363"/>
      <c r="P35" s="1363"/>
      <c r="Q35" s="1363"/>
      <c r="R35" s="1363"/>
      <c r="S35" s="1363"/>
      <c r="T35" s="1364"/>
      <c r="U35" s="2580"/>
      <c r="V35" s="2580"/>
      <c r="W35" s="3763"/>
      <c r="X35" s="3763"/>
      <c r="Y35" s="3763"/>
      <c r="Z35" s="3763"/>
      <c r="AA35" s="3763"/>
      <c r="AB35" s="3763"/>
      <c r="AC35" s="3763"/>
      <c r="AD35" s="3763"/>
      <c r="AE35" s="3763"/>
      <c r="AF35" s="3763"/>
      <c r="AG35" s="3763"/>
      <c r="AH35" s="3763"/>
      <c r="AI35" s="1364"/>
    </row>
    <row r="36" spans="1:35" x14ac:dyDescent="0.25">
      <c r="A36" s="1362"/>
      <c r="B36" s="3754"/>
      <c r="C36" s="3755"/>
      <c r="D36" s="3754"/>
      <c r="E36" s="3755"/>
      <c r="F36" s="3754"/>
      <c r="G36" s="3755"/>
      <c r="H36" s="3754"/>
      <c r="I36" s="3755"/>
      <c r="J36" s="3754"/>
      <c r="K36" s="3755"/>
      <c r="L36" s="3754"/>
      <c r="M36" s="3755"/>
      <c r="N36" s="1363"/>
      <c r="O36" s="1363"/>
      <c r="P36" s="1363"/>
      <c r="Q36" s="1363"/>
      <c r="R36" s="1363"/>
      <c r="S36" s="1363"/>
      <c r="T36" s="1364"/>
      <c r="U36" s="2584"/>
      <c r="V36" s="2584"/>
      <c r="W36" s="2580"/>
      <c r="X36" s="2580"/>
      <c r="Y36" s="2580"/>
      <c r="Z36" s="2580"/>
      <c r="AA36" s="2580"/>
      <c r="AB36" s="2580"/>
      <c r="AC36" s="2580"/>
      <c r="AD36" s="2580"/>
      <c r="AE36" s="2580"/>
      <c r="AF36" s="2580"/>
      <c r="AG36" s="2580"/>
      <c r="AH36" s="2580"/>
      <c r="AI36" s="1364"/>
    </row>
    <row r="37" spans="1:35" x14ac:dyDescent="0.25">
      <c r="A37" s="1362"/>
      <c r="B37" s="3756"/>
      <c r="C37" s="3757"/>
      <c r="D37" s="3756"/>
      <c r="E37" s="3757"/>
      <c r="F37" s="3756"/>
      <c r="G37" s="3757"/>
      <c r="H37" s="3756"/>
      <c r="I37" s="3757"/>
      <c r="J37" s="3756"/>
      <c r="K37" s="3757"/>
      <c r="L37" s="3756"/>
      <c r="M37" s="3757"/>
      <c r="N37" s="1363"/>
      <c r="O37" s="1363"/>
      <c r="P37" s="1363"/>
      <c r="Q37" s="1363"/>
      <c r="R37" s="1363"/>
      <c r="S37" s="1363"/>
      <c r="T37" s="1364"/>
      <c r="U37" s="2582"/>
      <c r="V37" s="2582"/>
      <c r="W37" s="2582"/>
      <c r="X37" s="2582"/>
      <c r="Y37" s="2582"/>
      <c r="Z37" s="2582"/>
      <c r="AA37" s="2582"/>
      <c r="AB37" s="2582"/>
      <c r="AC37" s="2582"/>
      <c r="AD37" s="2582"/>
      <c r="AE37" s="2582"/>
      <c r="AF37" s="2582"/>
      <c r="AG37" s="2582"/>
      <c r="AH37" s="2582"/>
      <c r="AI37" s="1367"/>
    </row>
    <row r="38" spans="1:35" x14ac:dyDescent="0.25">
      <c r="A38" s="1362"/>
      <c r="B38" s="1363"/>
      <c r="C38" s="1363"/>
      <c r="D38" s="1363"/>
      <c r="E38" s="1363"/>
      <c r="F38" s="1363"/>
      <c r="G38" s="1363"/>
      <c r="H38" s="1363"/>
      <c r="I38" s="1363"/>
      <c r="J38" s="1363"/>
      <c r="K38" s="1363"/>
      <c r="L38" s="1363"/>
      <c r="M38" s="1363"/>
      <c r="N38" s="1363"/>
      <c r="O38" s="1363"/>
      <c r="P38" s="1363"/>
      <c r="Q38" s="1363"/>
      <c r="R38" s="1363"/>
      <c r="S38" s="1363"/>
      <c r="T38" s="1364"/>
      <c r="U38" s="3761">
        <f>U34+0.01</f>
        <v>18.13000000000002</v>
      </c>
      <c r="V38" s="3761"/>
      <c r="W38" s="3762" t="s">
        <v>2645</v>
      </c>
      <c r="X38" s="3762"/>
      <c r="Y38" s="3762"/>
      <c r="Z38" s="3762"/>
      <c r="AA38" s="3762"/>
      <c r="AB38" s="3762"/>
      <c r="AC38" s="3762"/>
      <c r="AD38" s="3762"/>
      <c r="AE38" s="3762"/>
      <c r="AF38" s="3762"/>
      <c r="AG38" s="3762"/>
      <c r="AH38" s="3762"/>
      <c r="AI38" s="1361"/>
    </row>
    <row r="39" spans="1:35" x14ac:dyDescent="0.25">
      <c r="A39" s="1362"/>
      <c r="B39" s="3721" t="s">
        <v>2437</v>
      </c>
      <c r="C39" s="3723"/>
      <c r="D39" s="3721" t="s">
        <v>2438</v>
      </c>
      <c r="E39" s="3723"/>
      <c r="F39" s="3721" t="s">
        <v>2439</v>
      </c>
      <c r="G39" s="3723"/>
      <c r="H39" s="3721" t="s">
        <v>2440</v>
      </c>
      <c r="I39" s="3723"/>
      <c r="J39" s="3721" t="s">
        <v>2441</v>
      </c>
      <c r="K39" s="3723"/>
      <c r="L39" s="3721" t="s">
        <v>2442</v>
      </c>
      <c r="M39" s="3723"/>
      <c r="N39" s="1363"/>
      <c r="O39" s="1363"/>
      <c r="P39" s="1363"/>
      <c r="Q39" s="1363"/>
      <c r="R39" s="1363"/>
      <c r="S39" s="1363"/>
      <c r="T39" s="1364"/>
      <c r="U39" s="2580"/>
      <c r="V39" s="2580"/>
      <c r="W39" s="3763"/>
      <c r="X39" s="3763"/>
      <c r="Y39" s="3763"/>
      <c r="Z39" s="3763"/>
      <c r="AA39" s="3763"/>
      <c r="AB39" s="3763"/>
      <c r="AC39" s="3763"/>
      <c r="AD39" s="3763"/>
      <c r="AE39" s="3763"/>
      <c r="AF39" s="3763"/>
      <c r="AG39" s="3763"/>
      <c r="AH39" s="3763"/>
      <c r="AI39" s="1364"/>
    </row>
    <row r="40" spans="1:35" x14ac:dyDescent="0.25">
      <c r="A40" s="1362"/>
      <c r="B40" s="3754"/>
      <c r="C40" s="3755"/>
      <c r="D40" s="3754"/>
      <c r="E40" s="3755"/>
      <c r="F40" s="3754"/>
      <c r="G40" s="3755"/>
      <c r="H40" s="3754"/>
      <c r="I40" s="3755"/>
      <c r="J40" s="3754"/>
      <c r="K40" s="3755"/>
      <c r="L40" s="3754"/>
      <c r="M40" s="3755"/>
      <c r="N40" s="1363"/>
      <c r="O40" s="1363"/>
      <c r="P40" s="1363"/>
      <c r="Q40" s="1363"/>
      <c r="R40" s="1363"/>
      <c r="S40" s="1363"/>
      <c r="T40" s="1364"/>
      <c r="U40" s="2584"/>
      <c r="V40" s="2584"/>
      <c r="W40" s="2580"/>
      <c r="X40" s="2580"/>
      <c r="Y40" s="2580"/>
      <c r="Z40" s="2580"/>
      <c r="AA40" s="2580"/>
      <c r="AB40" s="2580"/>
      <c r="AC40" s="2580"/>
      <c r="AD40" s="2580"/>
      <c r="AE40" s="2580"/>
      <c r="AF40" s="2580"/>
      <c r="AG40" s="2580"/>
      <c r="AH40" s="2580"/>
      <c r="AI40" s="1364"/>
    </row>
    <row r="41" spans="1:35" x14ac:dyDescent="0.25">
      <c r="A41" s="1365"/>
      <c r="B41" s="3756"/>
      <c r="C41" s="3757"/>
      <c r="D41" s="3756"/>
      <c r="E41" s="3757"/>
      <c r="F41" s="3756"/>
      <c r="G41" s="3757"/>
      <c r="H41" s="3756"/>
      <c r="I41" s="3757"/>
      <c r="J41" s="3756"/>
      <c r="K41" s="3757"/>
      <c r="L41" s="3756"/>
      <c r="M41" s="3757"/>
      <c r="N41" s="1366"/>
      <c r="O41" s="1366"/>
      <c r="P41" s="1366"/>
      <c r="Q41" s="1366"/>
      <c r="R41" s="1366"/>
      <c r="S41" s="1366"/>
      <c r="T41" s="1367"/>
      <c r="U41" s="1366"/>
      <c r="V41" s="1366"/>
      <c r="W41" s="1366"/>
      <c r="X41" s="1366"/>
      <c r="Y41" s="1366"/>
      <c r="Z41" s="1366"/>
      <c r="AA41" s="1366"/>
      <c r="AB41" s="1366"/>
      <c r="AC41" s="1366"/>
      <c r="AD41" s="1366"/>
      <c r="AE41" s="1366"/>
      <c r="AF41" s="1366"/>
      <c r="AG41" s="1366"/>
      <c r="AH41" s="1366"/>
      <c r="AI41" s="1367"/>
    </row>
    <row r="42" spans="1:35" x14ac:dyDescent="0.25">
      <c r="A42" s="1363"/>
      <c r="B42" s="1363"/>
      <c r="C42" s="1363"/>
      <c r="D42" s="1363"/>
      <c r="E42" s="1363"/>
      <c r="F42" s="1363"/>
      <c r="G42" s="1363"/>
      <c r="H42" s="1363"/>
      <c r="I42" s="1363"/>
      <c r="J42" s="1363"/>
      <c r="K42" s="1363"/>
      <c r="L42" s="1363"/>
      <c r="M42" s="1363"/>
      <c r="N42" s="1363"/>
      <c r="O42" s="1363"/>
      <c r="P42" s="1363"/>
      <c r="Q42" s="1363"/>
      <c r="R42" s="1363"/>
      <c r="S42" s="1363"/>
      <c r="T42" s="1363"/>
      <c r="U42" s="1363"/>
      <c r="V42" s="1363"/>
      <c r="W42" s="1363"/>
      <c r="X42" s="1363"/>
      <c r="Y42" s="1363"/>
      <c r="Z42" s="1363"/>
      <c r="AA42" s="1363"/>
      <c r="AB42" s="1363"/>
      <c r="AC42" s="1363"/>
      <c r="AD42" s="1363"/>
      <c r="AE42" s="1363"/>
      <c r="AF42" s="1363"/>
      <c r="AG42" s="1363"/>
      <c r="AH42" s="1363"/>
    </row>
    <row r="43" spans="1:35" x14ac:dyDescent="0.25">
      <c r="A43" s="1363"/>
      <c r="B43" s="1363"/>
      <c r="C43" s="1363"/>
      <c r="D43" s="1363"/>
      <c r="E43" s="1363"/>
      <c r="F43" s="1363"/>
      <c r="G43" s="1363"/>
      <c r="H43" s="1363"/>
      <c r="I43" s="1363"/>
      <c r="J43" s="1363"/>
      <c r="K43" s="1363"/>
      <c r="L43" s="1363"/>
      <c r="M43" s="1363"/>
      <c r="N43" s="1363"/>
      <c r="O43" s="1363"/>
      <c r="P43" s="1363"/>
      <c r="Q43" s="1363"/>
      <c r="R43" s="1363"/>
      <c r="S43" s="1363"/>
      <c r="T43" s="1363"/>
      <c r="U43" s="1363"/>
      <c r="V43" s="1363"/>
      <c r="W43" s="1363"/>
      <c r="X43" s="1363"/>
      <c r="Y43" s="1363"/>
      <c r="Z43" s="1363"/>
      <c r="AA43" s="1363"/>
      <c r="AB43" s="1363"/>
      <c r="AC43" s="1363"/>
      <c r="AD43" s="1363"/>
      <c r="AE43" s="1363"/>
      <c r="AF43" s="1363"/>
      <c r="AG43" s="1363"/>
      <c r="AH43" s="1363"/>
    </row>
    <row r="44" spans="1:35" x14ac:dyDescent="0.25">
      <c r="A44" s="1363"/>
      <c r="B44" s="1363"/>
      <c r="C44" s="1363"/>
      <c r="D44" s="1363"/>
      <c r="E44" s="1363"/>
      <c r="F44" s="1363"/>
      <c r="G44" s="1363"/>
      <c r="H44" s="1363"/>
      <c r="I44" s="1363"/>
      <c r="J44" s="1363"/>
      <c r="K44" s="1363"/>
      <c r="L44" s="1363"/>
      <c r="M44" s="1363"/>
      <c r="N44" s="1363"/>
      <c r="O44" s="1363"/>
      <c r="P44" s="1363"/>
      <c r="Q44" s="1363"/>
      <c r="R44" s="1363"/>
      <c r="S44" s="1363"/>
      <c r="T44" s="1363"/>
      <c r="U44" s="1363"/>
      <c r="V44" s="1363"/>
      <c r="W44" s="1363"/>
      <c r="X44" s="1363"/>
      <c r="Y44" s="1363"/>
      <c r="Z44" s="1363"/>
      <c r="AA44" s="1363"/>
      <c r="AB44" s="1363"/>
      <c r="AC44" s="1363"/>
      <c r="AD44" s="1363"/>
      <c r="AE44" s="1363"/>
      <c r="AF44" s="1363"/>
      <c r="AG44" s="1363"/>
      <c r="AH44" s="1363"/>
    </row>
    <row r="45" spans="1:35" x14ac:dyDescent="0.25">
      <c r="A45" s="1363"/>
      <c r="B45" s="1363"/>
      <c r="C45" s="1363"/>
      <c r="D45" s="1363"/>
      <c r="E45" s="1363"/>
      <c r="F45" s="1363"/>
      <c r="G45" s="1363"/>
      <c r="H45" s="1363"/>
      <c r="I45" s="1363"/>
      <c r="J45" s="1363"/>
      <c r="K45" s="1363"/>
      <c r="L45" s="1363"/>
      <c r="M45" s="1363"/>
      <c r="N45" s="1363"/>
      <c r="O45" s="1363"/>
      <c r="P45" s="1363"/>
      <c r="Q45" s="1363"/>
      <c r="R45" s="1363"/>
      <c r="S45" s="1363"/>
      <c r="T45" s="1363"/>
      <c r="U45" s="1363"/>
      <c r="V45" s="1363"/>
      <c r="W45" s="1363"/>
      <c r="X45" s="1363"/>
      <c r="Y45" s="1363"/>
      <c r="Z45" s="1363"/>
      <c r="AA45" s="1363"/>
      <c r="AB45" s="1363"/>
      <c r="AC45" s="1363"/>
      <c r="AD45" s="1363"/>
      <c r="AE45" s="1363"/>
      <c r="AF45" s="1363"/>
      <c r="AG45" s="1363"/>
      <c r="AH45" s="1363"/>
    </row>
    <row r="46" spans="1:35" x14ac:dyDescent="0.25">
      <c r="A46" s="1363"/>
      <c r="B46" s="3758">
        <f>U38+0.01</f>
        <v>18.140000000000022</v>
      </c>
      <c r="C46" s="3758"/>
      <c r="D46" s="3758"/>
      <c r="E46" s="3758"/>
      <c r="F46" s="3758"/>
      <c r="G46" s="3753">
        <f>B46+0.01</f>
        <v>18.150000000000023</v>
      </c>
      <c r="H46" s="3753"/>
      <c r="I46" s="3753"/>
      <c r="J46" s="3753"/>
      <c r="K46" s="3753"/>
      <c r="L46" s="3753"/>
      <c r="M46" s="3753"/>
      <c r="N46" s="3753"/>
      <c r="O46" s="3753">
        <f>G46+0.01</f>
        <v>18.160000000000025</v>
      </c>
      <c r="P46" s="3753"/>
      <c r="Q46" s="3753"/>
      <c r="R46" s="3753"/>
      <c r="S46" s="3753"/>
      <c r="T46" s="3753"/>
      <c r="U46" s="3753"/>
      <c r="V46" s="3753"/>
      <c r="W46" s="3753"/>
      <c r="X46" s="3753"/>
      <c r="Y46" s="3753"/>
      <c r="Z46" s="3753"/>
      <c r="AA46" s="3753"/>
      <c r="AB46" s="3753"/>
      <c r="AC46" s="1363"/>
      <c r="AD46" s="1363"/>
      <c r="AE46" s="1363"/>
      <c r="AF46" s="1363"/>
      <c r="AG46" s="1363"/>
      <c r="AH46" s="1363"/>
    </row>
    <row r="47" spans="1:35" ht="14.5" customHeight="1" x14ac:dyDescent="0.25">
      <c r="B47" s="3739" t="s">
        <v>2443</v>
      </c>
      <c r="C47" s="3740"/>
      <c r="D47" s="3740"/>
      <c r="E47" s="3740"/>
      <c r="F47" s="3741"/>
      <c r="G47" s="3739" t="s">
        <v>2444</v>
      </c>
      <c r="H47" s="3740"/>
      <c r="I47" s="3740"/>
      <c r="J47" s="3740"/>
      <c r="K47" s="3740"/>
      <c r="L47" s="3740"/>
      <c r="M47" s="3740"/>
      <c r="N47" s="3741"/>
      <c r="O47" s="3593" t="s">
        <v>2445</v>
      </c>
      <c r="P47" s="3696"/>
      <c r="Q47" s="3696"/>
      <c r="R47" s="3696"/>
      <c r="S47" s="3696"/>
      <c r="T47" s="3696"/>
      <c r="U47" s="3696"/>
      <c r="V47" s="3696"/>
      <c r="W47" s="3696"/>
      <c r="X47" s="3696"/>
      <c r="Y47" s="3696"/>
      <c r="Z47" s="3696"/>
      <c r="AA47" s="3696"/>
      <c r="AB47" s="3601"/>
    </row>
    <row r="48" spans="1:35" ht="14.5" customHeight="1" x14ac:dyDescent="0.25">
      <c r="B48" s="3742"/>
      <c r="C48" s="3743"/>
      <c r="D48" s="3743"/>
      <c r="E48" s="3743"/>
      <c r="F48" s="3744"/>
      <c r="G48" s="3742"/>
      <c r="H48" s="3743"/>
      <c r="I48" s="3743"/>
      <c r="J48" s="3743"/>
      <c r="K48" s="3743"/>
      <c r="L48" s="3743"/>
      <c r="M48" s="3743"/>
      <c r="N48" s="3744"/>
      <c r="O48" s="3594"/>
      <c r="P48" s="3697"/>
      <c r="Q48" s="3697"/>
      <c r="R48" s="3697"/>
      <c r="S48" s="3697"/>
      <c r="T48" s="3697"/>
      <c r="U48" s="3697"/>
      <c r="V48" s="3697"/>
      <c r="W48" s="3697"/>
      <c r="X48" s="3697"/>
      <c r="Y48" s="3697"/>
      <c r="Z48" s="3697"/>
      <c r="AA48" s="3697"/>
      <c r="AB48" s="3263"/>
      <c r="AC48" s="1371"/>
      <c r="AD48" s="1372"/>
      <c r="AE48" s="1372"/>
      <c r="AF48" s="1372"/>
      <c r="AG48" s="1372"/>
      <c r="AH48" s="1372"/>
    </row>
    <row r="49" spans="1:34" ht="14.5" customHeight="1" x14ac:dyDescent="0.25">
      <c r="B49" s="3742"/>
      <c r="C49" s="3743"/>
      <c r="D49" s="3743"/>
      <c r="E49" s="3743"/>
      <c r="F49" s="3744"/>
      <c r="G49" s="3742"/>
      <c r="H49" s="3743"/>
      <c r="I49" s="3743"/>
      <c r="J49" s="3743"/>
      <c r="K49" s="3743"/>
      <c r="L49" s="3743"/>
      <c r="M49" s="3743"/>
      <c r="N49" s="3744"/>
      <c r="O49" s="3594"/>
      <c r="P49" s="3697"/>
      <c r="Q49" s="3697"/>
      <c r="R49" s="3697"/>
      <c r="S49" s="3697"/>
      <c r="T49" s="3697"/>
      <c r="U49" s="3697"/>
      <c r="V49" s="3697"/>
      <c r="W49" s="3697"/>
      <c r="X49" s="3697"/>
      <c r="Y49" s="3697"/>
      <c r="Z49" s="3697"/>
      <c r="AA49" s="3697"/>
      <c r="AB49" s="3263"/>
      <c r="AC49" s="1371"/>
      <c r="AD49" s="1372"/>
      <c r="AE49" s="1372"/>
      <c r="AF49" s="1372"/>
      <c r="AG49" s="1372"/>
      <c r="AH49" s="1372"/>
    </row>
    <row r="50" spans="1:34" ht="14.5" customHeight="1" x14ac:dyDescent="0.25">
      <c r="B50" s="3742"/>
      <c r="C50" s="3743"/>
      <c r="D50" s="3743"/>
      <c r="E50" s="3743"/>
      <c r="F50" s="3744"/>
      <c r="G50" s="3742"/>
      <c r="H50" s="3743"/>
      <c r="I50" s="3743"/>
      <c r="J50" s="3743"/>
      <c r="K50" s="3743"/>
      <c r="L50" s="3743"/>
      <c r="M50" s="3743"/>
      <c r="N50" s="3744"/>
      <c r="O50" s="3595"/>
      <c r="P50" s="3752"/>
      <c r="Q50" s="3752"/>
      <c r="R50" s="3752"/>
      <c r="S50" s="3752"/>
      <c r="T50" s="3752"/>
      <c r="U50" s="3752"/>
      <c r="V50" s="3752"/>
      <c r="W50" s="3752"/>
      <c r="X50" s="3752"/>
      <c r="Y50" s="3752"/>
      <c r="Z50" s="3752"/>
      <c r="AA50" s="3752"/>
      <c r="AB50" s="3602"/>
    </row>
    <row r="51" spans="1:34" ht="14.5" customHeight="1" x14ac:dyDescent="0.25">
      <c r="B51" s="3745"/>
      <c r="C51" s="3746"/>
      <c r="D51" s="3746"/>
      <c r="E51" s="3746"/>
      <c r="F51" s="3747"/>
      <c r="G51" s="3745"/>
      <c r="H51" s="3746"/>
      <c r="I51" s="3746"/>
      <c r="J51" s="3746"/>
      <c r="K51" s="3746"/>
      <c r="L51" s="3746"/>
      <c r="M51" s="3746"/>
      <c r="N51" s="3747"/>
      <c r="O51" s="3748" t="s">
        <v>2446</v>
      </c>
      <c r="P51" s="3748"/>
      <c r="Q51" s="3748"/>
      <c r="R51" s="3748"/>
      <c r="S51" s="3749" t="s">
        <v>2447</v>
      </c>
      <c r="T51" s="3750"/>
      <c r="U51" s="3751"/>
      <c r="V51" s="3748" t="s">
        <v>2448</v>
      </c>
      <c r="W51" s="3748"/>
      <c r="X51" s="3748"/>
      <c r="Y51" s="3749" t="s">
        <v>2449</v>
      </c>
      <c r="Z51" s="3750"/>
      <c r="AA51" s="3750"/>
      <c r="AB51" s="3751"/>
    </row>
    <row r="52" spans="1:34" ht="14.5" customHeight="1" x14ac:dyDescent="0.25">
      <c r="B52" s="3721" t="s">
        <v>2450</v>
      </c>
      <c r="C52" s="3722"/>
      <c r="D52" s="3723"/>
      <c r="E52" s="1373" t="s">
        <v>1936</v>
      </c>
      <c r="F52" s="1374"/>
      <c r="G52" s="3721" t="s">
        <v>2207</v>
      </c>
      <c r="H52" s="3722"/>
      <c r="I52" s="3722"/>
      <c r="J52" s="3723"/>
      <c r="K52" s="3721" t="s">
        <v>2208</v>
      </c>
      <c r="L52" s="3722"/>
      <c r="M52" s="3722"/>
      <c r="N52" s="3723"/>
      <c r="O52" s="3721" t="s">
        <v>2451</v>
      </c>
      <c r="P52" s="3723"/>
      <c r="Q52" s="3721" t="s">
        <v>2287</v>
      </c>
      <c r="R52" s="3723"/>
      <c r="S52" s="3721" t="s">
        <v>2451</v>
      </c>
      <c r="T52" s="3723"/>
      <c r="U52" s="650" t="s">
        <v>2287</v>
      </c>
      <c r="V52" s="3721" t="s">
        <v>2451</v>
      </c>
      <c r="W52" s="3723"/>
      <c r="X52" s="650" t="s">
        <v>2287</v>
      </c>
      <c r="Y52" s="3721" t="s">
        <v>2451</v>
      </c>
      <c r="Z52" s="3723"/>
      <c r="AA52" s="3721" t="s">
        <v>2287</v>
      </c>
      <c r="AB52" s="3723"/>
    </row>
    <row r="53" spans="1:34" ht="14.5" customHeight="1" x14ac:dyDescent="0.25">
      <c r="A53" s="956">
        <v>1</v>
      </c>
      <c r="B53" s="1368"/>
      <c r="C53" s="1369"/>
      <c r="D53" s="1370"/>
      <c r="E53" s="1368"/>
      <c r="F53" s="1370"/>
      <c r="G53" s="1368"/>
      <c r="H53" s="1369"/>
      <c r="I53" s="1369"/>
      <c r="J53" s="1370"/>
      <c r="K53" s="1368"/>
      <c r="L53" s="1369"/>
      <c r="M53" s="1369"/>
      <c r="N53" s="1370"/>
      <c r="O53" s="1368"/>
      <c r="P53" s="1370"/>
      <c r="Q53" s="1368"/>
      <c r="R53" s="1370"/>
      <c r="S53" s="1368"/>
      <c r="T53" s="1370"/>
      <c r="U53" s="650"/>
      <c r="V53" s="1368"/>
      <c r="W53" s="1370"/>
      <c r="X53" s="650"/>
      <c r="Y53" s="1368"/>
      <c r="Z53" s="1370"/>
      <c r="AA53" s="1368"/>
      <c r="AB53" s="1370"/>
    </row>
    <row r="54" spans="1:34" ht="14.5" customHeight="1" x14ac:dyDescent="0.25">
      <c r="A54" s="956">
        <v>2</v>
      </c>
      <c r="B54" s="1368"/>
      <c r="C54" s="1369"/>
      <c r="D54" s="1370"/>
      <c r="E54" s="1368"/>
      <c r="F54" s="1370"/>
      <c r="G54" s="1368"/>
      <c r="H54" s="1369"/>
      <c r="I54" s="1369"/>
      <c r="J54" s="1370"/>
      <c r="K54" s="1368"/>
      <c r="L54" s="1369"/>
      <c r="M54" s="1369"/>
      <c r="N54" s="1370"/>
      <c r="O54" s="1368"/>
      <c r="P54" s="1370"/>
      <c r="Q54" s="1368"/>
      <c r="R54" s="1370"/>
      <c r="S54" s="1368"/>
      <c r="T54" s="1370"/>
      <c r="U54" s="650"/>
      <c r="V54" s="1368"/>
      <c r="W54" s="1370"/>
      <c r="X54" s="650"/>
      <c r="Y54" s="1368"/>
      <c r="Z54" s="1370"/>
      <c r="AA54" s="1368"/>
      <c r="AB54" s="1370"/>
    </row>
    <row r="55" spans="1:34" ht="14.5" customHeight="1" x14ac:dyDescent="0.25">
      <c r="A55" s="956">
        <v>3</v>
      </c>
      <c r="B55" s="1368"/>
      <c r="C55" s="1369"/>
      <c r="D55" s="1370"/>
      <c r="E55" s="1368"/>
      <c r="F55" s="1370"/>
      <c r="G55" s="1368"/>
      <c r="H55" s="1369"/>
      <c r="I55" s="1369"/>
      <c r="J55" s="1370"/>
      <c r="K55" s="1368"/>
      <c r="L55" s="1369"/>
      <c r="M55" s="1369"/>
      <c r="N55" s="1370"/>
      <c r="O55" s="1368"/>
      <c r="P55" s="1370"/>
      <c r="Q55" s="1368"/>
      <c r="R55" s="1370"/>
      <c r="S55" s="1368"/>
      <c r="T55" s="1370"/>
      <c r="U55" s="650"/>
      <c r="V55" s="1368"/>
      <c r="W55" s="1370"/>
      <c r="X55" s="650"/>
      <c r="Y55" s="1368"/>
      <c r="Z55" s="1370"/>
      <c r="AA55" s="1368"/>
      <c r="AB55" s="1370"/>
    </row>
    <row r="56" spans="1:34" ht="14.5" customHeight="1" x14ac:dyDescent="0.25">
      <c r="A56" s="956">
        <v>4</v>
      </c>
      <c r="B56" s="1368"/>
      <c r="C56" s="1369"/>
      <c r="D56" s="1370"/>
      <c r="E56" s="1368"/>
      <c r="F56" s="1370"/>
      <c r="G56" s="1368"/>
      <c r="H56" s="1369"/>
      <c r="I56" s="1369"/>
      <c r="J56" s="1370"/>
      <c r="K56" s="1368"/>
      <c r="L56" s="1369"/>
      <c r="M56" s="1369"/>
      <c r="N56" s="1370"/>
      <c r="O56" s="1368"/>
      <c r="P56" s="1370"/>
      <c r="Q56" s="1368"/>
      <c r="R56" s="1370"/>
      <c r="S56" s="1368"/>
      <c r="T56" s="1370"/>
      <c r="U56" s="650"/>
      <c r="V56" s="1368"/>
      <c r="W56" s="1370"/>
      <c r="X56" s="650"/>
      <c r="Y56" s="1368"/>
      <c r="Z56" s="1370"/>
      <c r="AA56" s="1368"/>
      <c r="AB56" s="1370"/>
    </row>
    <row r="57" spans="1:34" ht="14.5" customHeight="1" x14ac:dyDescent="0.25">
      <c r="A57" s="956">
        <v>5</v>
      </c>
      <c r="B57" s="1368"/>
      <c r="C57" s="1369"/>
      <c r="D57" s="1370"/>
      <c r="E57" s="1368"/>
      <c r="F57" s="1370"/>
      <c r="G57" s="1368"/>
      <c r="H57" s="1369"/>
      <c r="I57" s="1369"/>
      <c r="J57" s="1370"/>
      <c r="K57" s="1368"/>
      <c r="L57" s="1369"/>
      <c r="M57" s="1369"/>
      <c r="N57" s="1370"/>
      <c r="O57" s="1368"/>
      <c r="P57" s="1370"/>
      <c r="Q57" s="1368"/>
      <c r="R57" s="1370"/>
      <c r="S57" s="1368"/>
      <c r="T57" s="1370"/>
      <c r="U57" s="650"/>
      <c r="V57" s="1368"/>
      <c r="W57" s="1370"/>
      <c r="X57" s="650"/>
      <c r="Y57" s="1368"/>
      <c r="Z57" s="1370"/>
      <c r="AA57" s="1368"/>
      <c r="AB57" s="1370"/>
    </row>
    <row r="58" spans="1:34" ht="14.5" customHeight="1" x14ac:dyDescent="0.25">
      <c r="A58" s="956"/>
      <c r="B58" s="1363"/>
      <c r="C58" s="1363"/>
      <c r="D58" s="1363"/>
      <c r="E58" s="1363"/>
      <c r="F58" s="1363"/>
      <c r="G58" s="1363"/>
      <c r="H58" s="1363"/>
      <c r="I58" s="1363"/>
      <c r="J58" s="1363"/>
      <c r="K58" s="1363"/>
      <c r="L58" s="1363"/>
      <c r="M58" s="1363"/>
      <c r="N58" s="1363"/>
      <c r="O58" s="1363"/>
      <c r="P58" s="1363"/>
      <c r="Q58" s="1363"/>
      <c r="R58" s="1363"/>
      <c r="S58" s="1363"/>
      <c r="T58" s="1363"/>
      <c r="U58" s="1363"/>
      <c r="V58" s="1363"/>
      <c r="W58" s="1363"/>
      <c r="X58" s="1363"/>
      <c r="Y58" s="1363"/>
      <c r="Z58" s="1363"/>
      <c r="AA58" s="1363"/>
      <c r="AB58" s="1363"/>
    </row>
    <row r="59" spans="1:34" ht="14.5" customHeight="1" x14ac:dyDescent="0.25">
      <c r="A59" s="956"/>
      <c r="B59" s="1363"/>
      <c r="C59" s="1363"/>
      <c r="D59" s="1363"/>
      <c r="E59" s="1363"/>
      <c r="F59" s="1363"/>
      <c r="G59" s="1363"/>
      <c r="H59" s="1363"/>
      <c r="I59" s="1363"/>
      <c r="J59" s="1363"/>
      <c r="K59" s="1363"/>
      <c r="L59" s="1363"/>
      <c r="M59" s="1363"/>
      <c r="N59" s="1363"/>
      <c r="O59" s="1363"/>
      <c r="P59" s="1363"/>
      <c r="Q59" s="1363"/>
      <c r="R59" s="1363"/>
      <c r="S59" s="1363"/>
      <c r="T59" s="1363"/>
      <c r="U59" s="1363"/>
      <c r="V59" s="1363"/>
      <c r="W59" s="1363"/>
      <c r="X59" s="1363"/>
      <c r="Y59" s="1363"/>
      <c r="Z59" s="1363"/>
      <c r="AA59" s="1363"/>
      <c r="AB59" s="1363"/>
    </row>
    <row r="60" spans="1:34" ht="14.5" customHeight="1" x14ac:dyDescent="0.25"/>
    <row r="61" spans="1:34" ht="14.5" customHeight="1" x14ac:dyDescent="0.25">
      <c r="I61" s="3720">
        <f>O46+0.01</f>
        <v>18.170000000000027</v>
      </c>
      <c r="J61" s="3720"/>
      <c r="P61" s="3720">
        <f>I61+0.01</f>
        <v>18.180000000000028</v>
      </c>
      <c r="Q61" s="3720"/>
      <c r="W61" s="3720">
        <f>P61+0.01</f>
        <v>18.19000000000003</v>
      </c>
      <c r="X61" s="3720"/>
    </row>
    <row r="62" spans="1:34" ht="14.5" customHeight="1" x14ac:dyDescent="0.25">
      <c r="G62" s="3724" t="s">
        <v>2452</v>
      </c>
      <c r="H62" s="3725"/>
      <c r="I62" s="3725"/>
      <c r="J62" s="3725"/>
      <c r="K62" s="3725"/>
      <c r="L62" s="3725"/>
      <c r="M62" s="3726"/>
      <c r="N62" s="3724" t="s">
        <v>2453</v>
      </c>
      <c r="O62" s="3725"/>
      <c r="P62" s="3725"/>
      <c r="Q62" s="3725"/>
      <c r="R62" s="3725"/>
      <c r="S62" s="3726"/>
      <c r="T62" s="3593" t="s">
        <v>2454</v>
      </c>
      <c r="U62" s="3696"/>
      <c r="V62" s="3696"/>
      <c r="W62" s="3696"/>
      <c r="X62" s="3696"/>
      <c r="Y62" s="3696"/>
      <c r="Z62" s="3696"/>
      <c r="AA62" s="3696"/>
      <c r="AB62" s="3601"/>
    </row>
    <row r="63" spans="1:34" ht="14.5" customHeight="1" x14ac:dyDescent="0.25">
      <c r="G63" s="3727"/>
      <c r="H63" s="3728"/>
      <c r="I63" s="3728"/>
      <c r="J63" s="3728"/>
      <c r="K63" s="3728"/>
      <c r="L63" s="3728"/>
      <c r="M63" s="3729"/>
      <c r="N63" s="3727"/>
      <c r="O63" s="3728"/>
      <c r="P63" s="3728"/>
      <c r="Q63" s="3728"/>
      <c r="R63" s="3728"/>
      <c r="S63" s="3729"/>
      <c r="T63" s="3594"/>
      <c r="U63" s="3697"/>
      <c r="V63" s="3697"/>
      <c r="W63" s="3697"/>
      <c r="X63" s="3697"/>
      <c r="Y63" s="3697"/>
      <c r="Z63" s="3697"/>
      <c r="AA63" s="3697"/>
      <c r="AB63" s="3263"/>
    </row>
    <row r="64" spans="1:34" ht="14.5" customHeight="1" x14ac:dyDescent="0.25">
      <c r="G64" s="1376">
        <v>1</v>
      </c>
      <c r="H64" s="1360" t="s">
        <v>2455</v>
      </c>
      <c r="I64" s="1360"/>
      <c r="J64" s="1360"/>
      <c r="K64" s="1360"/>
      <c r="L64" s="1360"/>
      <c r="M64" s="1361"/>
      <c r="N64" s="1376">
        <v>1</v>
      </c>
      <c r="O64" s="1360" t="s">
        <v>2456</v>
      </c>
      <c r="P64" s="1360"/>
      <c r="Q64" s="1360"/>
      <c r="R64" s="1360"/>
      <c r="S64" s="1361"/>
      <c r="T64" s="3594"/>
      <c r="U64" s="3697"/>
      <c r="V64" s="3697"/>
      <c r="W64" s="3697"/>
      <c r="X64" s="3697"/>
      <c r="Y64" s="3697"/>
      <c r="Z64" s="3697"/>
      <c r="AA64" s="3697"/>
      <c r="AB64" s="3263"/>
    </row>
    <row r="65" spans="1:28" ht="14.5" customHeight="1" x14ac:dyDescent="0.25">
      <c r="G65" s="1362">
        <v>2</v>
      </c>
      <c r="H65" s="1363" t="s">
        <v>2457</v>
      </c>
      <c r="I65" s="1363"/>
      <c r="J65" s="1363"/>
      <c r="K65" s="1363"/>
      <c r="L65" s="1363"/>
      <c r="M65" s="1364"/>
      <c r="N65" s="1362">
        <v>2</v>
      </c>
      <c r="O65" s="1363" t="s">
        <v>2458</v>
      </c>
      <c r="P65" s="1363"/>
      <c r="Q65" s="1363"/>
      <c r="R65" s="1363"/>
      <c r="S65" s="1364"/>
      <c r="T65" s="3594"/>
      <c r="U65" s="3697"/>
      <c r="V65" s="3697"/>
      <c r="W65" s="3697"/>
      <c r="X65" s="3697"/>
      <c r="Y65" s="3697"/>
      <c r="Z65" s="3697"/>
      <c r="AA65" s="3697"/>
      <c r="AB65" s="3263"/>
    </row>
    <row r="66" spans="1:28" ht="14.5" customHeight="1" x14ac:dyDescent="0.25">
      <c r="G66" s="1362">
        <v>3</v>
      </c>
      <c r="H66" s="1363" t="s">
        <v>1601</v>
      </c>
      <c r="I66" s="1363"/>
      <c r="J66" s="1363"/>
      <c r="K66" s="1363"/>
      <c r="L66" s="1363"/>
      <c r="M66" s="1364"/>
      <c r="N66" s="1362">
        <v>3</v>
      </c>
      <c r="O66" s="1363" t="s">
        <v>2459</v>
      </c>
      <c r="P66" s="1363"/>
      <c r="Q66" s="1363"/>
      <c r="R66" s="1363"/>
      <c r="S66" s="1364"/>
      <c r="T66" s="3594"/>
      <c r="U66" s="3697"/>
      <c r="V66" s="3697"/>
      <c r="W66" s="3697"/>
      <c r="X66" s="3697"/>
      <c r="Y66" s="3697"/>
      <c r="Z66" s="3697"/>
      <c r="AA66" s="3697"/>
      <c r="AB66" s="3263"/>
    </row>
    <row r="67" spans="1:28" ht="14.5" customHeight="1" x14ac:dyDescent="0.25">
      <c r="C67" s="3720">
        <f>B46</f>
        <v>18.140000000000022</v>
      </c>
      <c r="D67" s="3720"/>
      <c r="G67" s="1365"/>
      <c r="H67" s="1366"/>
      <c r="I67" s="1366"/>
      <c r="J67" s="1366"/>
      <c r="K67" s="1366"/>
      <c r="L67" s="1366"/>
      <c r="M67" s="1367"/>
      <c r="N67" s="1365">
        <v>4</v>
      </c>
      <c r="O67" s="1366" t="s">
        <v>1601</v>
      </c>
      <c r="P67" s="1366"/>
      <c r="Q67" s="1366"/>
      <c r="R67" s="1366"/>
      <c r="S67" s="1367"/>
      <c r="T67" s="3595"/>
      <c r="U67" s="3752"/>
      <c r="V67" s="3752"/>
      <c r="W67" s="3752"/>
      <c r="X67" s="3752"/>
      <c r="Y67" s="3752"/>
      <c r="Z67" s="3752"/>
      <c r="AA67" s="3752"/>
      <c r="AB67" s="3602"/>
    </row>
    <row r="68" spans="1:28" ht="14.5" customHeight="1" x14ac:dyDescent="0.25">
      <c r="B68" s="3721" t="s">
        <v>2450</v>
      </c>
      <c r="C68" s="3722"/>
      <c r="D68" s="3723"/>
      <c r="E68" s="1373" t="s">
        <v>1936</v>
      </c>
      <c r="F68" s="1377"/>
      <c r="G68" s="3721" t="s">
        <v>679</v>
      </c>
      <c r="H68" s="3722"/>
      <c r="I68" s="3722"/>
      <c r="J68" s="3722"/>
      <c r="K68" s="3722"/>
      <c r="L68" s="3722"/>
      <c r="M68" s="3723"/>
      <c r="N68" s="3721" t="s">
        <v>679</v>
      </c>
      <c r="O68" s="3722"/>
      <c r="P68" s="3722"/>
      <c r="Q68" s="3722"/>
      <c r="R68" s="3722"/>
      <c r="S68" s="3723"/>
      <c r="T68" s="3721" t="s">
        <v>353</v>
      </c>
      <c r="U68" s="3722"/>
      <c r="V68" s="3722"/>
      <c r="W68" s="3722"/>
      <c r="X68" s="3722"/>
      <c r="Y68" s="3722"/>
      <c r="Z68" s="3722"/>
      <c r="AA68" s="3722"/>
      <c r="AB68" s="3723"/>
    </row>
    <row r="69" spans="1:28" ht="14.5" customHeight="1" x14ac:dyDescent="0.25">
      <c r="A69" s="956">
        <v>1</v>
      </c>
      <c r="B69" s="1368"/>
      <c r="C69" s="1369"/>
      <c r="D69" s="1370"/>
      <c r="E69" s="1368"/>
      <c r="F69" s="1370"/>
      <c r="G69" s="1368"/>
      <c r="H69" s="1369"/>
      <c r="I69" s="1369"/>
      <c r="J69" s="1369"/>
      <c r="K69" s="1369"/>
      <c r="L69" s="1369"/>
      <c r="M69" s="1370"/>
      <c r="N69" s="1368"/>
      <c r="O69" s="1369"/>
      <c r="P69" s="1369"/>
      <c r="Q69" s="1369"/>
      <c r="R69" s="1369"/>
      <c r="S69" s="1370"/>
      <c r="T69" s="1368"/>
      <c r="U69" s="1369"/>
      <c r="V69" s="1369"/>
      <c r="W69" s="1369"/>
      <c r="X69" s="1369"/>
      <c r="Y69" s="1369"/>
      <c r="Z69" s="1369"/>
      <c r="AA69" s="1369"/>
      <c r="AB69" s="1370"/>
    </row>
    <row r="70" spans="1:28" ht="14.5" customHeight="1" x14ac:dyDescent="0.25">
      <c r="A70" s="956">
        <v>2</v>
      </c>
      <c r="B70" s="1368"/>
      <c r="C70" s="1369"/>
      <c r="D70" s="1370"/>
      <c r="E70" s="1368"/>
      <c r="F70" s="1370"/>
      <c r="G70" s="1368"/>
      <c r="H70" s="1369"/>
      <c r="I70" s="1369"/>
      <c r="J70" s="1369"/>
      <c r="K70" s="1369"/>
      <c r="L70" s="1369"/>
      <c r="M70" s="1370"/>
      <c r="N70" s="1368"/>
      <c r="O70" s="1369"/>
      <c r="P70" s="1369"/>
      <c r="Q70" s="1369"/>
      <c r="R70" s="1369"/>
      <c r="S70" s="1370"/>
      <c r="T70" s="1368"/>
      <c r="U70" s="1369"/>
      <c r="V70" s="1369"/>
      <c r="W70" s="1369"/>
      <c r="X70" s="1369"/>
      <c r="Y70" s="1369"/>
      <c r="Z70" s="1369"/>
      <c r="AA70" s="1369"/>
      <c r="AB70" s="1370"/>
    </row>
    <row r="71" spans="1:28" ht="14.5" customHeight="1" x14ac:dyDescent="0.25">
      <c r="A71" s="956">
        <v>3</v>
      </c>
      <c r="B71" s="1368"/>
      <c r="C71" s="1369"/>
      <c r="D71" s="1370"/>
      <c r="E71" s="1368"/>
      <c r="F71" s="1370"/>
      <c r="G71" s="1368"/>
      <c r="H71" s="1369"/>
      <c r="I71" s="1369"/>
      <c r="J71" s="1369"/>
      <c r="K71" s="1369"/>
      <c r="L71" s="1369"/>
      <c r="M71" s="1370"/>
      <c r="N71" s="1368"/>
      <c r="O71" s="1369"/>
      <c r="P71" s="1369"/>
      <c r="Q71" s="1369"/>
      <c r="R71" s="1369"/>
      <c r="S71" s="1370"/>
      <c r="T71" s="1368"/>
      <c r="U71" s="1369"/>
      <c r="V71" s="1369"/>
      <c r="W71" s="1369"/>
      <c r="X71" s="1369"/>
      <c r="Y71" s="1369"/>
      <c r="Z71" s="1369"/>
      <c r="AA71" s="1369"/>
      <c r="AB71" s="1370"/>
    </row>
    <row r="72" spans="1:28" ht="14.5" customHeight="1" x14ac:dyDescent="0.25">
      <c r="A72" s="956">
        <v>4</v>
      </c>
      <c r="B72" s="1368"/>
      <c r="C72" s="1369"/>
      <c r="D72" s="1370"/>
      <c r="E72" s="1368"/>
      <c r="F72" s="1370"/>
      <c r="G72" s="1368"/>
      <c r="H72" s="1369"/>
      <c r="I72" s="1369"/>
      <c r="J72" s="1369"/>
      <c r="K72" s="1369"/>
      <c r="L72" s="1369"/>
      <c r="M72" s="1370"/>
      <c r="N72" s="1368"/>
      <c r="O72" s="1369"/>
      <c r="P72" s="1369"/>
      <c r="Q72" s="1369"/>
      <c r="R72" s="1369"/>
      <c r="S72" s="1370"/>
      <c r="T72" s="1368"/>
      <c r="U72" s="1369"/>
      <c r="V72" s="1369"/>
      <c r="W72" s="1369"/>
      <c r="X72" s="1369"/>
      <c r="Y72" s="1369"/>
      <c r="Z72" s="1369"/>
      <c r="AA72" s="1369"/>
      <c r="AB72" s="1370"/>
    </row>
    <row r="73" spans="1:28" ht="14.5" customHeight="1" x14ac:dyDescent="0.25">
      <c r="A73" s="956">
        <v>5</v>
      </c>
      <c r="B73" s="1368"/>
      <c r="C73" s="1369"/>
      <c r="D73" s="1370"/>
      <c r="E73" s="1368"/>
      <c r="F73" s="1370"/>
      <c r="G73" s="1368"/>
      <c r="H73" s="1369"/>
      <c r="I73" s="1369"/>
      <c r="J73" s="1369"/>
      <c r="K73" s="1369"/>
      <c r="L73" s="1369"/>
      <c r="M73" s="1370"/>
      <c r="N73" s="1368"/>
      <c r="O73" s="1369"/>
      <c r="P73" s="1369"/>
      <c r="Q73" s="1369"/>
      <c r="R73" s="1369"/>
      <c r="S73" s="1370"/>
      <c r="T73" s="1368"/>
      <c r="U73" s="1369"/>
      <c r="V73" s="1369"/>
      <c r="W73" s="1369"/>
      <c r="X73" s="1369"/>
      <c r="Y73" s="1369"/>
      <c r="Z73" s="1369"/>
      <c r="AA73" s="1369"/>
      <c r="AB73" s="1370"/>
    </row>
    <row r="74" spans="1:28" x14ac:dyDescent="0.25">
      <c r="U74" s="1363"/>
      <c r="V74" s="1363"/>
      <c r="W74" s="1363"/>
      <c r="X74" s="1363"/>
      <c r="Y74" s="1363"/>
      <c r="Z74" s="1363"/>
      <c r="AA74" s="1363"/>
      <c r="AB74" s="1363"/>
    </row>
    <row r="75" spans="1:28" x14ac:dyDescent="0.25">
      <c r="U75" s="1363"/>
      <c r="V75" s="1363"/>
      <c r="W75" s="1363"/>
      <c r="X75" s="1363"/>
      <c r="Y75" s="1363"/>
      <c r="Z75" s="1363"/>
      <c r="AA75" s="1363"/>
      <c r="AB75" s="1363"/>
    </row>
    <row r="76" spans="1:28" x14ac:dyDescent="0.25">
      <c r="U76" s="1363"/>
      <c r="V76" s="1363"/>
      <c r="W76" s="1363"/>
      <c r="X76" s="1363"/>
      <c r="Y76" s="1363"/>
      <c r="Z76" s="1363"/>
      <c r="AA76" s="1363"/>
      <c r="AB76" s="1363"/>
    </row>
    <row r="77" spans="1:28" x14ac:dyDescent="0.25">
      <c r="U77" s="1363"/>
      <c r="V77" s="1363"/>
      <c r="W77" s="1363"/>
      <c r="X77" s="1363"/>
      <c r="Y77" s="1363"/>
      <c r="Z77" s="1363"/>
      <c r="AA77" s="1363"/>
      <c r="AB77" s="1363"/>
    </row>
    <row r="79" spans="1:28" ht="14.5" customHeight="1" x14ac:dyDescent="0.25">
      <c r="A79" s="2551"/>
      <c r="B79" s="2551"/>
      <c r="C79" s="3720">
        <f>W61+0.01</f>
        <v>18.200000000000031</v>
      </c>
      <c r="D79" s="3720"/>
      <c r="I79" s="3720">
        <f>C79+0.01</f>
        <v>18.210000000000033</v>
      </c>
      <c r="J79" s="3720"/>
      <c r="O79" s="3753">
        <f>I79+0.01</f>
        <v>18.220000000000034</v>
      </c>
      <c r="P79" s="3753"/>
      <c r="Q79" s="3753"/>
      <c r="R79" s="3753"/>
      <c r="S79" s="3753"/>
      <c r="T79" s="3753"/>
      <c r="U79" s="3753"/>
      <c r="V79" s="3753"/>
      <c r="W79" s="3753"/>
      <c r="X79" s="3753"/>
      <c r="Y79" s="3753"/>
      <c r="Z79" s="3753"/>
      <c r="AA79" s="3753"/>
      <c r="AB79" s="3753"/>
    </row>
    <row r="80" spans="1:28" ht="14.5" customHeight="1" x14ac:dyDescent="0.25">
      <c r="B80" s="3739" t="s">
        <v>2460</v>
      </c>
      <c r="C80" s="3740"/>
      <c r="D80" s="3740"/>
      <c r="E80" s="3740"/>
      <c r="F80" s="3741"/>
      <c r="G80" s="3739" t="s">
        <v>2461</v>
      </c>
      <c r="H80" s="3740"/>
      <c r="I80" s="3740"/>
      <c r="J80" s="3740"/>
      <c r="K80" s="3740"/>
      <c r="L80" s="3740"/>
      <c r="M80" s="3740"/>
      <c r="N80" s="3741"/>
      <c r="O80" s="3730" t="s">
        <v>2462</v>
      </c>
      <c r="P80" s="3731"/>
      <c r="Q80" s="3731"/>
      <c r="R80" s="3731"/>
      <c r="S80" s="3731"/>
      <c r="T80" s="3731"/>
      <c r="U80" s="3731"/>
      <c r="V80" s="3731"/>
      <c r="W80" s="3731"/>
      <c r="X80" s="3731"/>
      <c r="Y80" s="3731"/>
      <c r="Z80" s="3731"/>
      <c r="AA80" s="3731"/>
      <c r="AB80" s="3732"/>
    </row>
    <row r="81" spans="1:30" ht="14.5" customHeight="1" x14ac:dyDescent="0.25">
      <c r="B81" s="3742"/>
      <c r="C81" s="3743"/>
      <c r="D81" s="3743"/>
      <c r="E81" s="3743"/>
      <c r="F81" s="3744"/>
      <c r="G81" s="3742"/>
      <c r="H81" s="3743"/>
      <c r="I81" s="3743"/>
      <c r="J81" s="3743"/>
      <c r="K81" s="3743"/>
      <c r="L81" s="3743"/>
      <c r="M81" s="3743"/>
      <c r="N81" s="3744"/>
      <c r="O81" s="3733"/>
      <c r="P81" s="3734"/>
      <c r="Q81" s="3734"/>
      <c r="R81" s="3734"/>
      <c r="S81" s="3734"/>
      <c r="T81" s="3734"/>
      <c r="U81" s="3734"/>
      <c r="V81" s="3734"/>
      <c r="W81" s="3734"/>
      <c r="X81" s="3734"/>
      <c r="Y81" s="3734"/>
      <c r="Z81" s="3734"/>
      <c r="AA81" s="3734"/>
      <c r="AB81" s="3735"/>
      <c r="AC81" s="1407"/>
      <c r="AD81" s="1372"/>
    </row>
    <row r="82" spans="1:30" ht="14.5" customHeight="1" x14ac:dyDescent="0.25">
      <c r="B82" s="3742"/>
      <c r="C82" s="3743"/>
      <c r="D82" s="3743"/>
      <c r="E82" s="3743"/>
      <c r="F82" s="3744"/>
      <c r="G82" s="3742"/>
      <c r="H82" s="3743"/>
      <c r="I82" s="3743"/>
      <c r="J82" s="3743"/>
      <c r="K82" s="3743"/>
      <c r="L82" s="3743"/>
      <c r="M82" s="3743"/>
      <c r="N82" s="3744"/>
      <c r="O82" s="3733"/>
      <c r="P82" s="3734"/>
      <c r="Q82" s="3734"/>
      <c r="R82" s="3734"/>
      <c r="S82" s="3734"/>
      <c r="T82" s="3734"/>
      <c r="U82" s="3734"/>
      <c r="V82" s="3734"/>
      <c r="W82" s="3734"/>
      <c r="X82" s="3734"/>
      <c r="Y82" s="3734"/>
      <c r="Z82" s="3734"/>
      <c r="AA82" s="3734"/>
      <c r="AB82" s="3735"/>
      <c r="AC82" s="1407"/>
      <c r="AD82" s="1372"/>
    </row>
    <row r="83" spans="1:30" ht="14.5" customHeight="1" x14ac:dyDescent="0.25">
      <c r="B83" s="3742"/>
      <c r="C83" s="3743"/>
      <c r="D83" s="3743"/>
      <c r="E83" s="3743"/>
      <c r="F83" s="3744"/>
      <c r="G83" s="3742"/>
      <c r="H83" s="3743"/>
      <c r="I83" s="3743"/>
      <c r="J83" s="3743"/>
      <c r="K83" s="3743"/>
      <c r="L83" s="3743"/>
      <c r="M83" s="3743"/>
      <c r="N83" s="3744"/>
      <c r="O83" s="3736"/>
      <c r="P83" s="3737"/>
      <c r="Q83" s="3737"/>
      <c r="R83" s="3737"/>
      <c r="S83" s="3737"/>
      <c r="T83" s="3737"/>
      <c r="U83" s="3737"/>
      <c r="V83" s="3737"/>
      <c r="W83" s="3737"/>
      <c r="X83" s="3737"/>
      <c r="Y83" s="3737"/>
      <c r="Z83" s="3737"/>
      <c r="AA83" s="3737"/>
      <c r="AB83" s="3738"/>
    </row>
    <row r="84" spans="1:30" ht="14.5" customHeight="1" x14ac:dyDescent="0.25">
      <c r="B84" s="3745"/>
      <c r="C84" s="3746"/>
      <c r="D84" s="3746"/>
      <c r="E84" s="3746"/>
      <c r="F84" s="3747"/>
      <c r="G84" s="3745"/>
      <c r="H84" s="3746"/>
      <c r="I84" s="3746"/>
      <c r="J84" s="3746"/>
      <c r="K84" s="3746"/>
      <c r="L84" s="3746"/>
      <c r="M84" s="3746"/>
      <c r="N84" s="3747"/>
      <c r="O84" s="3748" t="s">
        <v>2446</v>
      </c>
      <c r="P84" s="3748"/>
      <c r="Q84" s="3748"/>
      <c r="R84" s="3748"/>
      <c r="S84" s="3749" t="s">
        <v>2447</v>
      </c>
      <c r="T84" s="3750"/>
      <c r="U84" s="3751"/>
      <c r="V84" s="3748" t="s">
        <v>2448</v>
      </c>
      <c r="W84" s="3748"/>
      <c r="X84" s="3748"/>
      <c r="Y84" s="3749" t="s">
        <v>2449</v>
      </c>
      <c r="Z84" s="3750"/>
      <c r="AA84" s="3750"/>
      <c r="AB84" s="3751"/>
    </row>
    <row r="85" spans="1:30" ht="14.5" customHeight="1" x14ac:dyDescent="0.25">
      <c r="B85" s="3721" t="s">
        <v>2450</v>
      </c>
      <c r="C85" s="3722"/>
      <c r="D85" s="3723"/>
      <c r="E85" s="1373" t="s">
        <v>1936</v>
      </c>
      <c r="F85" s="1374"/>
      <c r="G85" s="3721" t="s">
        <v>2207</v>
      </c>
      <c r="H85" s="3722"/>
      <c r="I85" s="3722"/>
      <c r="J85" s="3723"/>
      <c r="K85" s="3721" t="s">
        <v>2208</v>
      </c>
      <c r="L85" s="3722"/>
      <c r="M85" s="3722"/>
      <c r="N85" s="3723"/>
      <c r="O85" s="3721" t="s">
        <v>2451</v>
      </c>
      <c r="P85" s="3723"/>
      <c r="Q85" s="3721" t="s">
        <v>2287</v>
      </c>
      <c r="R85" s="3723"/>
      <c r="S85" s="3721" t="s">
        <v>2451</v>
      </c>
      <c r="T85" s="3723"/>
      <c r="U85" s="650" t="s">
        <v>2287</v>
      </c>
      <c r="V85" s="3721" t="s">
        <v>2451</v>
      </c>
      <c r="W85" s="3723"/>
      <c r="X85" s="650" t="s">
        <v>2287</v>
      </c>
      <c r="Y85" s="3721" t="s">
        <v>2451</v>
      </c>
      <c r="Z85" s="3723"/>
      <c r="AA85" s="3721" t="s">
        <v>2287</v>
      </c>
      <c r="AB85" s="3723"/>
    </row>
    <row r="86" spans="1:30" ht="14.5" customHeight="1" x14ac:dyDescent="0.25">
      <c r="A86" s="956">
        <v>1</v>
      </c>
      <c r="B86" s="1368"/>
      <c r="C86" s="1369"/>
      <c r="D86" s="1370"/>
      <c r="E86" s="1368"/>
      <c r="F86" s="1370"/>
      <c r="G86" s="1368"/>
      <c r="H86" s="1369"/>
      <c r="I86" s="1369"/>
      <c r="J86" s="1370"/>
      <c r="K86" s="1368"/>
      <c r="L86" s="1369"/>
      <c r="M86" s="1369"/>
      <c r="N86" s="1370"/>
      <c r="O86" s="1368"/>
      <c r="P86" s="1370"/>
      <c r="Q86" s="1368"/>
      <c r="R86" s="1370"/>
      <c r="S86" s="1368"/>
      <c r="T86" s="1370"/>
      <c r="U86" s="650"/>
      <c r="V86" s="1368"/>
      <c r="W86" s="1370"/>
      <c r="X86" s="650"/>
      <c r="Y86" s="1368"/>
      <c r="Z86" s="1370"/>
      <c r="AA86" s="1368"/>
      <c r="AB86" s="1370"/>
    </row>
    <row r="87" spans="1:30" ht="14.5" customHeight="1" x14ac:dyDescent="0.25">
      <c r="A87" s="956">
        <v>2</v>
      </c>
      <c r="B87" s="1368"/>
      <c r="C87" s="1369"/>
      <c r="D87" s="1370"/>
      <c r="E87" s="1368"/>
      <c r="F87" s="1370"/>
      <c r="G87" s="1368"/>
      <c r="H87" s="1369"/>
      <c r="I87" s="1369"/>
      <c r="J87" s="1370"/>
      <c r="K87" s="1368"/>
      <c r="L87" s="1369"/>
      <c r="M87" s="1369"/>
      <c r="N87" s="1370"/>
      <c r="O87" s="1368"/>
      <c r="P87" s="1370"/>
      <c r="Q87" s="1368"/>
      <c r="R87" s="1370"/>
      <c r="S87" s="1368"/>
      <c r="T87" s="1370"/>
      <c r="U87" s="650"/>
      <c r="V87" s="1368"/>
      <c r="W87" s="1370"/>
      <c r="X87" s="650"/>
      <c r="Y87" s="1368"/>
      <c r="Z87" s="1370"/>
      <c r="AA87" s="1368"/>
      <c r="AB87" s="1370"/>
    </row>
    <row r="88" spans="1:30" ht="14.5" customHeight="1" x14ac:dyDescent="0.25">
      <c r="A88" s="956">
        <v>3</v>
      </c>
      <c r="B88" s="1368"/>
      <c r="C88" s="1369"/>
      <c r="D88" s="1370"/>
      <c r="E88" s="1368"/>
      <c r="F88" s="1370"/>
      <c r="G88" s="1368"/>
      <c r="H88" s="1369"/>
      <c r="I88" s="1369"/>
      <c r="J88" s="1370"/>
      <c r="K88" s="1368"/>
      <c r="L88" s="1369"/>
      <c r="M88" s="1369"/>
      <c r="N88" s="1370"/>
      <c r="O88" s="1368"/>
      <c r="P88" s="1370"/>
      <c r="Q88" s="1368"/>
      <c r="R88" s="1370"/>
      <c r="S88" s="1368"/>
      <c r="T88" s="1370"/>
      <c r="U88" s="650"/>
      <c r="V88" s="1368"/>
      <c r="W88" s="1370"/>
      <c r="X88" s="650"/>
      <c r="Y88" s="1368"/>
      <c r="Z88" s="1370"/>
      <c r="AA88" s="1368"/>
      <c r="AB88" s="1370"/>
    </row>
    <row r="89" spans="1:30" ht="14.5" customHeight="1" x14ac:dyDescent="0.25">
      <c r="A89" s="956">
        <v>4</v>
      </c>
      <c r="B89" s="1368"/>
      <c r="C89" s="1369"/>
      <c r="D89" s="1370"/>
      <c r="E89" s="1368"/>
      <c r="F89" s="1370"/>
      <c r="G89" s="1368"/>
      <c r="H89" s="1369"/>
      <c r="I89" s="1369"/>
      <c r="J89" s="1370"/>
      <c r="K89" s="1368"/>
      <c r="L89" s="1369"/>
      <c r="M89" s="1369"/>
      <c r="N89" s="1370"/>
      <c r="O89" s="1368"/>
      <c r="P89" s="1370"/>
      <c r="Q89" s="1368"/>
      <c r="R89" s="1370"/>
      <c r="S89" s="1368"/>
      <c r="T89" s="1370"/>
      <c r="U89" s="650"/>
      <c r="V89" s="1368"/>
      <c r="W89" s="1370"/>
      <c r="X89" s="650"/>
      <c r="Y89" s="1368"/>
      <c r="Z89" s="1370"/>
      <c r="AA89" s="1368"/>
      <c r="AB89" s="1370"/>
    </row>
    <row r="90" spans="1:30" ht="14.5" customHeight="1" x14ac:dyDescent="0.25">
      <c r="A90" s="956">
        <v>5</v>
      </c>
      <c r="B90" s="1368"/>
      <c r="C90" s="1369"/>
      <c r="D90" s="1370"/>
      <c r="E90" s="1368"/>
      <c r="F90" s="1370"/>
      <c r="G90" s="1368"/>
      <c r="H90" s="1369"/>
      <c r="I90" s="1369"/>
      <c r="J90" s="1370"/>
      <c r="K90" s="1368"/>
      <c r="L90" s="1369"/>
      <c r="M90" s="1369"/>
      <c r="N90" s="1370"/>
      <c r="O90" s="1368"/>
      <c r="P90" s="1370"/>
      <c r="Q90" s="1368"/>
      <c r="R90" s="1370"/>
      <c r="S90" s="1368"/>
      <c r="T90" s="1370"/>
      <c r="U90" s="650"/>
      <c r="V90" s="1368"/>
      <c r="W90" s="1370"/>
      <c r="X90" s="650"/>
      <c r="Y90" s="1368"/>
      <c r="Z90" s="1370"/>
      <c r="AA90" s="1368"/>
      <c r="AB90" s="1370"/>
    </row>
    <row r="91" spans="1:30" ht="14.5" customHeight="1" x14ac:dyDescent="0.25">
      <c r="A91" s="956"/>
      <c r="B91" s="1363"/>
      <c r="C91" s="1363"/>
      <c r="D91" s="1363"/>
      <c r="E91" s="1363"/>
      <c r="F91" s="1363"/>
      <c r="G91" s="1363"/>
      <c r="H91" s="1363"/>
      <c r="I91" s="1363"/>
      <c r="J91" s="1363"/>
      <c r="K91" s="1363"/>
      <c r="L91" s="1363"/>
      <c r="M91" s="1363"/>
      <c r="N91" s="1363"/>
      <c r="O91" s="1363"/>
      <c r="P91" s="1363"/>
      <c r="Q91" s="1363"/>
      <c r="R91" s="1363"/>
      <c r="S91" s="1363"/>
      <c r="T91" s="1363"/>
      <c r="U91" s="1363"/>
      <c r="V91" s="1363"/>
      <c r="W91" s="1363"/>
      <c r="X91" s="1363"/>
      <c r="Y91" s="1363"/>
      <c r="Z91" s="1363"/>
      <c r="AA91" s="1363"/>
      <c r="AB91" s="1363"/>
    </row>
    <row r="92" spans="1:30" ht="14.5" customHeight="1" x14ac:dyDescent="0.25">
      <c r="A92" s="956"/>
      <c r="B92" s="1363"/>
      <c r="C92" s="1363"/>
      <c r="D92" s="1363"/>
      <c r="E92" s="1363"/>
      <c r="F92" s="1363"/>
      <c r="G92" s="1363"/>
      <c r="H92" s="1363"/>
      <c r="I92" s="1363"/>
      <c r="J92" s="1363"/>
      <c r="K92" s="1363"/>
      <c r="L92" s="1363"/>
      <c r="M92" s="1363"/>
      <c r="N92" s="1363"/>
      <c r="O92" s="1363"/>
      <c r="P92" s="1363"/>
      <c r="Q92" s="1363"/>
      <c r="R92" s="1363"/>
      <c r="S92" s="1363"/>
      <c r="T92" s="1363"/>
      <c r="U92" s="1363"/>
      <c r="V92" s="1363"/>
      <c r="W92" s="1363"/>
      <c r="X92" s="1363"/>
      <c r="Y92" s="1363"/>
      <c r="Z92" s="1363"/>
      <c r="AA92" s="1363"/>
      <c r="AB92" s="1363"/>
    </row>
    <row r="93" spans="1:30" ht="14.5" customHeight="1" x14ac:dyDescent="0.25">
      <c r="A93" s="956"/>
      <c r="B93" s="1363"/>
      <c r="C93" s="1363"/>
      <c r="D93" s="1363"/>
      <c r="E93" s="1363"/>
      <c r="F93" s="1363"/>
      <c r="G93" s="1363"/>
      <c r="H93" s="1363"/>
      <c r="I93" s="1363"/>
      <c r="J93" s="1363"/>
      <c r="K93" s="1363"/>
      <c r="L93" s="1363"/>
      <c r="M93" s="1363"/>
      <c r="N93" s="1363"/>
      <c r="O93" s="1363"/>
      <c r="P93" s="1363"/>
      <c r="Q93" s="1363"/>
      <c r="R93" s="1363"/>
      <c r="S93" s="1363"/>
      <c r="T93" s="1363"/>
      <c r="U93" s="1363"/>
      <c r="V93" s="1363"/>
      <c r="W93" s="1363"/>
      <c r="X93" s="1363"/>
      <c r="Y93" s="1363"/>
      <c r="Z93" s="1363"/>
      <c r="AA93" s="1363"/>
      <c r="AB93" s="1363"/>
    </row>
    <row r="94" spans="1:30" ht="14.5" customHeight="1" x14ac:dyDescent="0.25">
      <c r="I94" s="3720">
        <f>O79+0.01</f>
        <v>18.230000000000036</v>
      </c>
      <c r="J94" s="3720"/>
      <c r="P94" s="3720">
        <f>I94+0.01</f>
        <v>18.240000000000038</v>
      </c>
      <c r="Q94" s="3720"/>
      <c r="T94" s="1375"/>
      <c r="W94" s="3720">
        <f>P94+0.01</f>
        <v>18.250000000000039</v>
      </c>
      <c r="X94" s="3720"/>
    </row>
    <row r="95" spans="1:30" ht="14.5" customHeight="1" x14ac:dyDescent="0.25">
      <c r="G95" s="3724" t="s">
        <v>2452</v>
      </c>
      <c r="H95" s="3725"/>
      <c r="I95" s="3725"/>
      <c r="J95" s="3725"/>
      <c r="K95" s="3725"/>
      <c r="L95" s="3725"/>
      <c r="M95" s="3726"/>
      <c r="N95" s="3724" t="s">
        <v>2453</v>
      </c>
      <c r="O95" s="3725"/>
      <c r="P95" s="3725"/>
      <c r="Q95" s="3725"/>
      <c r="R95" s="3725"/>
      <c r="S95" s="3726"/>
      <c r="T95" s="3730" t="s">
        <v>2463</v>
      </c>
      <c r="U95" s="3731"/>
      <c r="V95" s="3731"/>
      <c r="W95" s="3731"/>
      <c r="X95" s="3731"/>
      <c r="Y95" s="3731"/>
      <c r="Z95" s="3731"/>
      <c r="AA95" s="3731"/>
      <c r="AB95" s="3732"/>
    </row>
    <row r="96" spans="1:30" ht="14.5" customHeight="1" x14ac:dyDescent="0.25">
      <c r="G96" s="3727"/>
      <c r="H96" s="3728"/>
      <c r="I96" s="3728"/>
      <c r="J96" s="3728"/>
      <c r="K96" s="3728"/>
      <c r="L96" s="3728"/>
      <c r="M96" s="3729"/>
      <c r="N96" s="3727"/>
      <c r="O96" s="3728"/>
      <c r="P96" s="3728"/>
      <c r="Q96" s="3728"/>
      <c r="R96" s="3728"/>
      <c r="S96" s="3729"/>
      <c r="T96" s="3733"/>
      <c r="U96" s="3734"/>
      <c r="V96" s="3734"/>
      <c r="W96" s="3734"/>
      <c r="X96" s="3734"/>
      <c r="Y96" s="3734"/>
      <c r="Z96" s="3734"/>
      <c r="AA96" s="3734"/>
      <c r="AB96" s="3735"/>
    </row>
    <row r="97" spans="1:28" ht="14.5" customHeight="1" x14ac:dyDescent="0.25">
      <c r="G97" s="1376">
        <v>1</v>
      </c>
      <c r="H97" s="1360" t="s">
        <v>2455</v>
      </c>
      <c r="I97" s="1360"/>
      <c r="J97" s="1360"/>
      <c r="K97" s="1360"/>
      <c r="L97" s="1360"/>
      <c r="M97" s="1361"/>
      <c r="N97" s="1376">
        <v>1</v>
      </c>
      <c r="O97" s="1360" t="s">
        <v>2456</v>
      </c>
      <c r="P97" s="1360"/>
      <c r="Q97" s="1360"/>
      <c r="R97" s="1360"/>
      <c r="S97" s="1361"/>
      <c r="T97" s="3733"/>
      <c r="U97" s="3734"/>
      <c r="V97" s="3734"/>
      <c r="W97" s="3734"/>
      <c r="X97" s="3734"/>
      <c r="Y97" s="3734"/>
      <c r="Z97" s="3734"/>
      <c r="AA97" s="3734"/>
      <c r="AB97" s="3735"/>
    </row>
    <row r="98" spans="1:28" ht="14.5" customHeight="1" x14ac:dyDescent="0.25">
      <c r="G98" s="1362">
        <v>2</v>
      </c>
      <c r="H98" s="1363" t="s">
        <v>2457</v>
      </c>
      <c r="I98" s="1363"/>
      <c r="J98" s="1363"/>
      <c r="K98" s="1363"/>
      <c r="L98" s="1363"/>
      <c r="M98" s="1364"/>
      <c r="N98" s="1362">
        <v>2</v>
      </c>
      <c r="O98" s="1363" t="s">
        <v>2458</v>
      </c>
      <c r="P98" s="1363"/>
      <c r="Q98" s="1363"/>
      <c r="R98" s="1363"/>
      <c r="S98" s="1364"/>
      <c r="T98" s="3733"/>
      <c r="U98" s="3734"/>
      <c r="V98" s="3734"/>
      <c r="W98" s="3734"/>
      <c r="X98" s="3734"/>
      <c r="Y98" s="3734"/>
      <c r="Z98" s="3734"/>
      <c r="AA98" s="3734"/>
      <c r="AB98" s="3735"/>
    </row>
    <row r="99" spans="1:28" ht="14.5" customHeight="1" x14ac:dyDescent="0.25">
      <c r="G99" s="1362">
        <v>3</v>
      </c>
      <c r="H99" s="1363" t="s">
        <v>1601</v>
      </c>
      <c r="I99" s="1363"/>
      <c r="J99" s="1363"/>
      <c r="K99" s="1363"/>
      <c r="L99" s="1363"/>
      <c r="M99" s="1364"/>
      <c r="N99" s="1362">
        <v>3</v>
      </c>
      <c r="O99" s="1363" t="s">
        <v>2459</v>
      </c>
      <c r="P99" s="1363"/>
      <c r="Q99" s="1363"/>
      <c r="R99" s="1363"/>
      <c r="S99" s="1364"/>
      <c r="T99" s="3733"/>
      <c r="U99" s="3734"/>
      <c r="V99" s="3734"/>
      <c r="W99" s="3734"/>
      <c r="X99" s="3734"/>
      <c r="Y99" s="3734"/>
      <c r="Z99" s="3734"/>
      <c r="AA99" s="3734"/>
      <c r="AB99" s="3735"/>
    </row>
    <row r="100" spans="1:28" ht="14.5" customHeight="1" x14ac:dyDescent="0.25">
      <c r="C100" s="3720">
        <f>C79</f>
        <v>18.200000000000031</v>
      </c>
      <c r="D100" s="3720"/>
      <c r="G100" s="1365"/>
      <c r="H100" s="1366"/>
      <c r="I100" s="1366"/>
      <c r="J100" s="1366"/>
      <c r="K100" s="1366"/>
      <c r="L100" s="1366"/>
      <c r="M100" s="1367"/>
      <c r="N100" s="1365">
        <v>4</v>
      </c>
      <c r="O100" s="1366" t="s">
        <v>1601</v>
      </c>
      <c r="P100" s="1366"/>
      <c r="Q100" s="1366"/>
      <c r="R100" s="1366"/>
      <c r="S100" s="1367"/>
      <c r="T100" s="3736"/>
      <c r="U100" s="3737"/>
      <c r="V100" s="3737"/>
      <c r="W100" s="3737"/>
      <c r="X100" s="3737"/>
      <c r="Y100" s="3737"/>
      <c r="Z100" s="3737"/>
      <c r="AA100" s="3737"/>
      <c r="AB100" s="3738"/>
    </row>
    <row r="101" spans="1:28" ht="14.5" customHeight="1" x14ac:dyDescent="0.25">
      <c r="B101" s="3721" t="s">
        <v>2450</v>
      </c>
      <c r="C101" s="3722"/>
      <c r="D101" s="3723"/>
      <c r="E101" s="3721" t="s">
        <v>1936</v>
      </c>
      <c r="F101" s="3723"/>
      <c r="G101" s="3721" t="s">
        <v>346</v>
      </c>
      <c r="H101" s="3722"/>
      <c r="I101" s="3722"/>
      <c r="J101" s="3722"/>
      <c r="K101" s="3722"/>
      <c r="L101" s="3722"/>
      <c r="M101" s="3723"/>
      <c r="N101" s="3721" t="s">
        <v>346</v>
      </c>
      <c r="O101" s="3722"/>
      <c r="P101" s="3722"/>
      <c r="Q101" s="3722"/>
      <c r="R101" s="3722"/>
      <c r="S101" s="3723"/>
      <c r="T101" s="3721" t="s">
        <v>353</v>
      </c>
      <c r="U101" s="3722"/>
      <c r="V101" s="3722"/>
      <c r="W101" s="3722"/>
      <c r="X101" s="3722"/>
      <c r="Y101" s="3722"/>
      <c r="Z101" s="3722"/>
      <c r="AA101" s="3722"/>
      <c r="AB101" s="3723"/>
    </row>
    <row r="102" spans="1:28" ht="14.5" customHeight="1" x14ac:dyDescent="0.25">
      <c r="A102" s="956">
        <v>1</v>
      </c>
      <c r="B102" s="1368"/>
      <c r="C102" s="1369"/>
      <c r="D102" s="1370"/>
      <c r="E102" s="1368"/>
      <c r="F102" s="1370"/>
      <c r="G102" s="1368"/>
      <c r="H102" s="1369"/>
      <c r="I102" s="1369"/>
      <c r="J102" s="1369"/>
      <c r="K102" s="1369"/>
      <c r="L102" s="1369"/>
      <c r="M102" s="1370"/>
      <c r="N102" s="1368"/>
      <c r="O102" s="1369"/>
      <c r="P102" s="1369"/>
      <c r="Q102" s="1369"/>
      <c r="R102" s="1369"/>
      <c r="S102" s="1370"/>
      <c r="T102" s="1368"/>
      <c r="U102" s="1369"/>
      <c r="V102" s="1369"/>
      <c r="W102" s="1369"/>
      <c r="X102" s="1369"/>
      <c r="Y102" s="1369"/>
      <c r="Z102" s="1369"/>
      <c r="AA102" s="1369"/>
      <c r="AB102" s="1370"/>
    </row>
    <row r="103" spans="1:28" ht="14.5" customHeight="1" x14ac:dyDescent="0.25">
      <c r="A103" s="956">
        <v>2</v>
      </c>
      <c r="B103" s="1368"/>
      <c r="C103" s="1369"/>
      <c r="D103" s="1370"/>
      <c r="E103" s="1368"/>
      <c r="F103" s="1370"/>
      <c r="G103" s="1368"/>
      <c r="H103" s="1369"/>
      <c r="I103" s="1369"/>
      <c r="J103" s="1369"/>
      <c r="K103" s="1369"/>
      <c r="L103" s="1369"/>
      <c r="M103" s="1370"/>
      <c r="N103" s="1368"/>
      <c r="O103" s="1369"/>
      <c r="P103" s="1369"/>
      <c r="Q103" s="1369"/>
      <c r="R103" s="1369"/>
      <c r="S103" s="1370"/>
      <c r="T103" s="1368"/>
      <c r="U103" s="1369"/>
      <c r="V103" s="1369"/>
      <c r="W103" s="1369"/>
      <c r="X103" s="1369"/>
      <c r="Y103" s="1369"/>
      <c r="Z103" s="1369"/>
      <c r="AA103" s="1369"/>
      <c r="AB103" s="1370"/>
    </row>
    <row r="104" spans="1:28" ht="14.5" customHeight="1" x14ac:dyDescent="0.25">
      <c r="A104" s="956">
        <v>3</v>
      </c>
      <c r="B104" s="1368"/>
      <c r="C104" s="1369"/>
      <c r="D104" s="1370"/>
      <c r="E104" s="1368"/>
      <c r="F104" s="1370"/>
      <c r="G104" s="1368"/>
      <c r="H104" s="1369"/>
      <c r="I104" s="1369"/>
      <c r="J104" s="1369"/>
      <c r="K104" s="1369"/>
      <c r="L104" s="1369"/>
      <c r="M104" s="1370"/>
      <c r="N104" s="1368"/>
      <c r="O104" s="1369"/>
      <c r="P104" s="1369"/>
      <c r="Q104" s="1369"/>
      <c r="R104" s="1369"/>
      <c r="S104" s="1370"/>
      <c r="T104" s="1368"/>
      <c r="U104" s="1369"/>
      <c r="V104" s="1369"/>
      <c r="W104" s="1369"/>
      <c r="X104" s="1369"/>
      <c r="Y104" s="1369"/>
      <c r="Z104" s="1369"/>
      <c r="AA104" s="1369"/>
      <c r="AB104" s="1370"/>
    </row>
    <row r="105" spans="1:28" ht="14.5" customHeight="1" x14ac:dyDescent="0.25">
      <c r="A105" s="956">
        <v>4</v>
      </c>
      <c r="B105" s="1368"/>
      <c r="C105" s="1369"/>
      <c r="D105" s="1370"/>
      <c r="E105" s="1368"/>
      <c r="F105" s="1370"/>
      <c r="G105" s="1368"/>
      <c r="H105" s="1369"/>
      <c r="I105" s="1369"/>
      <c r="J105" s="1369"/>
      <c r="K105" s="1369"/>
      <c r="L105" s="1369"/>
      <c r="M105" s="1370"/>
      <c r="N105" s="1368"/>
      <c r="O105" s="1369"/>
      <c r="P105" s="1369"/>
      <c r="Q105" s="1369"/>
      <c r="R105" s="1369"/>
      <c r="S105" s="1370"/>
      <c r="T105" s="1368"/>
      <c r="U105" s="1369"/>
      <c r="V105" s="1369"/>
      <c r="W105" s="1369"/>
      <c r="X105" s="1369"/>
      <c r="Y105" s="1369"/>
      <c r="Z105" s="1369"/>
      <c r="AA105" s="1369"/>
      <c r="AB105" s="1370"/>
    </row>
    <row r="106" spans="1:28" ht="14.5" customHeight="1" x14ac:dyDescent="0.25">
      <c r="A106" s="956">
        <v>5</v>
      </c>
      <c r="B106" s="1368"/>
      <c r="C106" s="1369"/>
      <c r="D106" s="1370"/>
      <c r="E106" s="1368"/>
      <c r="F106" s="1370"/>
      <c r="G106" s="1368"/>
      <c r="H106" s="1369"/>
      <c r="I106" s="1369"/>
      <c r="J106" s="1369"/>
      <c r="K106" s="1369"/>
      <c r="L106" s="1369"/>
      <c r="M106" s="1370"/>
      <c r="N106" s="1368"/>
      <c r="O106" s="1369"/>
      <c r="P106" s="1369"/>
      <c r="Q106" s="1369"/>
      <c r="R106" s="1369"/>
      <c r="S106" s="1370"/>
      <c r="T106" s="1368"/>
      <c r="U106" s="1369"/>
      <c r="V106" s="1369"/>
      <c r="W106" s="1369"/>
      <c r="X106" s="1369"/>
      <c r="Y106" s="1369"/>
      <c r="Z106" s="1369"/>
      <c r="AA106" s="1369"/>
      <c r="AB106" s="1370"/>
    </row>
  </sheetData>
  <mergeCells count="100">
    <mergeCell ref="L14:M14"/>
    <mergeCell ref="L35:M35"/>
    <mergeCell ref="L39:M39"/>
    <mergeCell ref="W20:AH21"/>
    <mergeCell ref="U15:V15"/>
    <mergeCell ref="U20:V20"/>
    <mergeCell ref="U30:V30"/>
    <mergeCell ref="B33:T33"/>
    <mergeCell ref="U25:V25"/>
    <mergeCell ref="B39:C39"/>
    <mergeCell ref="D36:E37"/>
    <mergeCell ref="H39:I39"/>
    <mergeCell ref="B35:C35"/>
    <mergeCell ref="F36:G37"/>
    <mergeCell ref="B36:C37"/>
    <mergeCell ref="J36:K37"/>
    <mergeCell ref="D39:E39"/>
    <mergeCell ref="F39:G39"/>
    <mergeCell ref="W25:AH26"/>
    <mergeCell ref="J39:K39"/>
    <mergeCell ref="D35:E35"/>
    <mergeCell ref="F35:G35"/>
    <mergeCell ref="H35:I35"/>
    <mergeCell ref="J35:K35"/>
    <mergeCell ref="U34:V34"/>
    <mergeCell ref="U38:V38"/>
    <mergeCell ref="W30:AG31"/>
    <mergeCell ref="W34:AH35"/>
    <mergeCell ref="W38:AH39"/>
    <mergeCell ref="H36:I37"/>
    <mergeCell ref="L36:M37"/>
    <mergeCell ref="D40:E41"/>
    <mergeCell ref="B47:F51"/>
    <mergeCell ref="G47:N51"/>
    <mergeCell ref="O51:R51"/>
    <mergeCell ref="V51:X51"/>
    <mergeCell ref="G46:N46"/>
    <mergeCell ref="B46:F46"/>
    <mergeCell ref="O46:AB46"/>
    <mergeCell ref="O47:AB50"/>
    <mergeCell ref="S51:U51"/>
    <mergeCell ref="Y51:AB51"/>
    <mergeCell ref="B40:C41"/>
    <mergeCell ref="L40:M41"/>
    <mergeCell ref="J40:K41"/>
    <mergeCell ref="H40:I41"/>
    <mergeCell ref="F40:G41"/>
    <mergeCell ref="S52:T52"/>
    <mergeCell ref="V52:W52"/>
    <mergeCell ref="Y52:Z52"/>
    <mergeCell ref="AA52:AB52"/>
    <mergeCell ref="I61:J61"/>
    <mergeCell ref="P61:Q61"/>
    <mergeCell ref="B52:D52"/>
    <mergeCell ref="G52:J52"/>
    <mergeCell ref="K52:N52"/>
    <mergeCell ref="O52:P52"/>
    <mergeCell ref="Q52:R52"/>
    <mergeCell ref="N62:S63"/>
    <mergeCell ref="W61:X61"/>
    <mergeCell ref="T62:AB67"/>
    <mergeCell ref="C67:D67"/>
    <mergeCell ref="C79:D79"/>
    <mergeCell ref="I79:J79"/>
    <mergeCell ref="O79:AB79"/>
    <mergeCell ref="B68:D68"/>
    <mergeCell ref="G68:M68"/>
    <mergeCell ref="N68:S68"/>
    <mergeCell ref="T68:AB68"/>
    <mergeCell ref="G62:M63"/>
    <mergeCell ref="B80:F84"/>
    <mergeCell ref="G80:N84"/>
    <mergeCell ref="O84:R84"/>
    <mergeCell ref="V84:X84"/>
    <mergeCell ref="S84:U84"/>
    <mergeCell ref="O80:AB83"/>
    <mergeCell ref="Y84:AB84"/>
    <mergeCell ref="T95:AB100"/>
    <mergeCell ref="B85:D85"/>
    <mergeCell ref="G85:J85"/>
    <mergeCell ref="K85:N85"/>
    <mergeCell ref="O85:P85"/>
    <mergeCell ref="Q85:R85"/>
    <mergeCell ref="S85:T85"/>
    <mergeCell ref="B5:S5"/>
    <mergeCell ref="X10:AB11"/>
    <mergeCell ref="C100:D100"/>
    <mergeCell ref="B101:D101"/>
    <mergeCell ref="G101:M101"/>
    <mergeCell ref="N101:S101"/>
    <mergeCell ref="T101:AB101"/>
    <mergeCell ref="E101:F101"/>
    <mergeCell ref="V85:W85"/>
    <mergeCell ref="Y85:Z85"/>
    <mergeCell ref="AA85:AB85"/>
    <mergeCell ref="I94:J94"/>
    <mergeCell ref="P94:Q94"/>
    <mergeCell ref="G95:M96"/>
    <mergeCell ref="N95:S96"/>
    <mergeCell ref="W94:X94"/>
  </mergeCells>
  <pageMargins left="0.314" right="0.314" top="0.11799999999999999" bottom="0.27500000000000002" header="0.157" footer="0.11799999999999999"/>
  <pageSetup scale="91" orientation="landscape" r:id="rId1"/>
  <headerFooter>
    <oddFooter>&amp;C&amp;P</oddFooter>
  </headerFooter>
  <rowBreaks count="2" manualBreakCount="2">
    <brk id="42" max="34" man="1"/>
    <brk id="77" max="34"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57"/>
  <sheetViews>
    <sheetView zoomScale="140" zoomScaleNormal="140" zoomScaleSheetLayoutView="140" workbookViewId="0">
      <selection activeCell="N4" sqref="N4"/>
    </sheetView>
  </sheetViews>
  <sheetFormatPr defaultColWidth="8.81640625" defaultRowHeight="12.5" x14ac:dyDescent="0.25"/>
  <cols>
    <col min="1" max="1" width="16" style="823" customWidth="1"/>
    <col min="2" max="2" width="5.453125" style="823" customWidth="1"/>
    <col min="3" max="3" width="13.81640625" style="823" customWidth="1"/>
    <col min="4" max="4" width="7.453125" style="823" customWidth="1"/>
    <col min="5" max="5" width="16.26953125" style="823" customWidth="1"/>
    <col min="6" max="8" width="6.1796875" style="823" bestFit="1" customWidth="1"/>
    <col min="9" max="9" width="6.1796875" style="823" customWidth="1"/>
    <col min="10" max="10" width="10.7265625" style="823" customWidth="1"/>
    <col min="11" max="11" width="13.453125" style="823" customWidth="1"/>
    <col min="12" max="12" width="13.1796875" style="823" customWidth="1"/>
    <col min="13" max="13" width="10.7265625" style="823" customWidth="1"/>
    <col min="14" max="14" width="18.453125" style="823" customWidth="1"/>
    <col min="15" max="15" width="13.1796875" style="823" customWidth="1"/>
  </cols>
  <sheetData>
    <row r="1" spans="1:15" ht="13" x14ac:dyDescent="0.3">
      <c r="A1" s="849" t="s">
        <v>2464</v>
      </c>
    </row>
    <row r="2" spans="1:15" ht="13" x14ac:dyDescent="0.3">
      <c r="A2" s="849"/>
    </row>
    <row r="3" spans="1:15" ht="13" x14ac:dyDescent="0.3">
      <c r="A3" s="849"/>
      <c r="B3" s="956" t="s">
        <v>2465</v>
      </c>
      <c r="N3" s="956" t="s">
        <v>2755</v>
      </c>
      <c r="O3" s="70"/>
    </row>
    <row r="4" spans="1:15" x14ac:dyDescent="0.25">
      <c r="A4" s="70"/>
      <c r="B4" s="70" t="s">
        <v>2466</v>
      </c>
      <c r="C4" s="70"/>
      <c r="D4" s="70"/>
      <c r="E4" s="70"/>
      <c r="F4" s="70"/>
      <c r="G4" s="70"/>
      <c r="H4" s="70"/>
      <c r="I4" s="70"/>
      <c r="J4" s="70"/>
      <c r="K4" s="70"/>
      <c r="L4" s="70"/>
      <c r="M4" s="70"/>
      <c r="N4" s="956"/>
      <c r="O4" s="70"/>
    </row>
    <row r="5" spans="1:15" x14ac:dyDescent="0.25">
      <c r="A5" s="70"/>
      <c r="B5" s="70"/>
      <c r="D5" s="2252"/>
      <c r="I5" s="70"/>
      <c r="J5" s="70"/>
      <c r="K5" s="70"/>
      <c r="L5" s="70"/>
      <c r="M5" s="70"/>
      <c r="N5" s="70"/>
      <c r="O5" s="70"/>
    </row>
    <row r="6" spans="1:15" x14ac:dyDescent="0.25">
      <c r="A6" s="2256">
        <v>19.02</v>
      </c>
      <c r="B6" s="2517"/>
      <c r="C6" s="924">
        <f>A6+0.01</f>
        <v>19.03</v>
      </c>
      <c r="D6" s="2253">
        <f>C6+0.01</f>
        <v>19.040000000000003</v>
      </c>
      <c r="E6" s="2308">
        <f>D6+0.01</f>
        <v>19.050000000000004</v>
      </c>
      <c r="F6" s="1792">
        <f>E6+0.01</f>
        <v>19.060000000000006</v>
      </c>
      <c r="G6" s="1793"/>
      <c r="H6" s="1794"/>
      <c r="I6" s="924">
        <f>F6+0.01</f>
        <v>19.070000000000007</v>
      </c>
      <c r="J6" s="924">
        <f t="shared" ref="J6:O6" si="0">I6+0.01</f>
        <v>19.080000000000009</v>
      </c>
      <c r="K6" s="924">
        <f t="shared" si="0"/>
        <v>19.090000000000011</v>
      </c>
      <c r="L6" s="924">
        <f t="shared" si="0"/>
        <v>19.100000000000012</v>
      </c>
      <c r="M6" s="924">
        <f t="shared" si="0"/>
        <v>19.110000000000014</v>
      </c>
      <c r="N6" s="924">
        <f t="shared" si="0"/>
        <v>19.120000000000015</v>
      </c>
      <c r="O6" s="924">
        <f t="shared" si="0"/>
        <v>19.130000000000017</v>
      </c>
    </row>
    <row r="7" spans="1:15" ht="13.5" customHeight="1" x14ac:dyDescent="0.25">
      <c r="A7" s="3591" t="s">
        <v>2467</v>
      </c>
      <c r="B7" s="3591"/>
      <c r="C7" s="3220" t="str">
        <f>CONCATENATE("Le ménage possède-t-il l’article suivant?
1=Oui 
2=Non ►(",TEXT(N6,"0.00"),")")</f>
        <v>Le ménage possède-t-il l’article suivant?
1=Oui 
2=Non ►(19.12)</v>
      </c>
      <c r="D7" s="3626" t="s">
        <v>2468</v>
      </c>
      <c r="E7" s="3705" t="str">
        <f>CONCATENATE("Est-ce que l'équipement appartient à tout le ménage ou à un ou des  membres en particulier?
1= Un ou des membres en particulier 
2= Tout le ménage ►(",TEXT(I6, "0.00"),")")</f>
        <v>Est-ce que l'équipement appartient à tout le ménage ou à un ou des  membres en particulier?
1= Un ou des membres en particulier 
2= Tout le ménage ►(19.07)</v>
      </c>
      <c r="F7" s="3672" t="s">
        <v>2469</v>
      </c>
      <c r="G7" s="3673"/>
      <c r="H7" s="3674"/>
      <c r="I7" s="3220" t="s">
        <v>2470</v>
      </c>
      <c r="J7" s="3220" t="s">
        <v>2471</v>
      </c>
      <c r="K7" s="3220" t="s">
        <v>2472</v>
      </c>
      <c r="L7" s="3240" t="str">
        <f>CONCATENATE("Le ménage a-t-il loué [...] à d’autres ménages au cours des 12 derniers mois?
1 = Oui
2 = Non ►(",TEXT(N6,"0.00"),")")</f>
        <v>Le ménage a-t-il loué [...] à d’autres ménages au cours des 12 derniers mois?
1 = Oui
2 = Non ►(19.12)</v>
      </c>
      <c r="M7" s="3220" t="s">
        <v>2473</v>
      </c>
      <c r="N7" s="3220" t="s">
        <v>2474</v>
      </c>
      <c r="O7" s="3220" t="s">
        <v>2475</v>
      </c>
    </row>
    <row r="8" spans="1:15" x14ac:dyDescent="0.25">
      <c r="A8" s="2381"/>
      <c r="B8" s="2381"/>
      <c r="C8" s="2782"/>
      <c r="D8" s="3628"/>
      <c r="E8" s="3161"/>
      <c r="F8" s="3269"/>
      <c r="G8" s="3675"/>
      <c r="H8" s="3676"/>
      <c r="I8" s="2782"/>
      <c r="J8" s="2782"/>
      <c r="K8" s="2782"/>
      <c r="L8" s="2807"/>
      <c r="M8" s="2782"/>
      <c r="N8" s="2782"/>
      <c r="O8" s="2782"/>
    </row>
    <row r="9" spans="1:15" x14ac:dyDescent="0.25">
      <c r="A9" s="2381"/>
      <c r="B9" s="2381"/>
      <c r="C9" s="2782"/>
      <c r="D9" s="3628"/>
      <c r="E9" s="3161"/>
      <c r="F9" s="3269"/>
      <c r="G9" s="3675"/>
      <c r="H9" s="3676"/>
      <c r="I9" s="2782"/>
      <c r="J9" s="2782"/>
      <c r="K9" s="2782"/>
      <c r="L9" s="2807"/>
      <c r="M9" s="2782"/>
      <c r="N9" s="2782"/>
      <c r="O9" s="2782"/>
    </row>
    <row r="10" spans="1:15" x14ac:dyDescent="0.25">
      <c r="A10" s="2381"/>
      <c r="B10" s="2381"/>
      <c r="C10" s="2782"/>
      <c r="D10" s="3628"/>
      <c r="E10" s="3161"/>
      <c r="F10" s="3269"/>
      <c r="G10" s="3675"/>
      <c r="H10" s="3676"/>
      <c r="I10" s="2782"/>
      <c r="J10" s="2782"/>
      <c r="K10" s="2782"/>
      <c r="L10" s="2807"/>
      <c r="M10" s="2782"/>
      <c r="N10" s="2782"/>
      <c r="O10" s="2782"/>
    </row>
    <row r="11" spans="1:15" x14ac:dyDescent="0.25">
      <c r="A11" s="2381"/>
      <c r="B11" s="2381"/>
      <c r="C11" s="2782"/>
      <c r="D11" s="3628"/>
      <c r="E11" s="3161"/>
      <c r="F11" s="3269"/>
      <c r="G11" s="3675"/>
      <c r="H11" s="3676"/>
      <c r="I11" s="2782"/>
      <c r="J11" s="2782"/>
      <c r="K11" s="2782"/>
      <c r="L11" s="2807"/>
      <c r="M11" s="2782"/>
      <c r="N11" s="2782"/>
      <c r="O11" s="2782"/>
    </row>
    <row r="12" spans="1:15" x14ac:dyDescent="0.25">
      <c r="A12" s="2381"/>
      <c r="B12" s="2381"/>
      <c r="C12" s="2782"/>
      <c r="D12" s="3628"/>
      <c r="E12" s="3161"/>
      <c r="F12" s="3269"/>
      <c r="G12" s="3675"/>
      <c r="H12" s="3676"/>
      <c r="I12" s="2782"/>
      <c r="J12" s="2782"/>
      <c r="K12" s="2782"/>
      <c r="L12" s="2807"/>
      <c r="M12" s="2782"/>
      <c r="N12" s="2782"/>
      <c r="O12" s="2782"/>
    </row>
    <row r="13" spans="1:15" x14ac:dyDescent="0.25">
      <c r="A13" s="2381"/>
      <c r="B13" s="2381"/>
      <c r="C13" s="2782"/>
      <c r="D13" s="3628"/>
      <c r="E13" s="3161"/>
      <c r="F13" s="2301"/>
      <c r="G13" s="1795"/>
      <c r="H13" s="1796"/>
      <c r="I13" s="2782"/>
      <c r="J13" s="2782"/>
      <c r="K13" s="2782"/>
      <c r="L13" s="2807"/>
      <c r="M13" s="2782"/>
      <c r="N13" s="2782"/>
      <c r="O13" s="2782"/>
    </row>
    <row r="14" spans="1:15" x14ac:dyDescent="0.25">
      <c r="A14" s="2381"/>
      <c r="B14" s="2381"/>
      <c r="C14" s="2843"/>
      <c r="D14" s="3630"/>
      <c r="E14" s="3772"/>
      <c r="F14" s="1797" t="s">
        <v>1846</v>
      </c>
      <c r="G14" s="1798" t="s">
        <v>1847</v>
      </c>
      <c r="H14" s="1799" t="s">
        <v>2476</v>
      </c>
      <c r="I14" s="2843"/>
      <c r="J14" s="2843"/>
      <c r="K14" s="2843"/>
      <c r="L14" s="3587"/>
      <c r="M14" s="2360"/>
      <c r="N14" s="2360"/>
      <c r="O14" s="2360"/>
    </row>
    <row r="15" spans="1:15" ht="23" x14ac:dyDescent="0.25">
      <c r="A15" s="925" t="s">
        <v>2477</v>
      </c>
      <c r="B15" s="926" t="s">
        <v>346</v>
      </c>
      <c r="C15" s="926" t="s">
        <v>346</v>
      </c>
      <c r="D15" s="2254" t="s">
        <v>141</v>
      </c>
      <c r="E15" s="2254" t="s">
        <v>346</v>
      </c>
      <c r="F15" s="1800" t="s">
        <v>170</v>
      </c>
      <c r="G15" s="1800" t="s">
        <v>170</v>
      </c>
      <c r="H15" s="1800" t="s">
        <v>170</v>
      </c>
      <c r="I15" s="926" t="s">
        <v>2048</v>
      </c>
      <c r="J15" s="926" t="s">
        <v>353</v>
      </c>
      <c r="K15" s="926" t="s">
        <v>353</v>
      </c>
      <c r="L15" s="926" t="s">
        <v>346</v>
      </c>
      <c r="M15" s="1124" t="s">
        <v>353</v>
      </c>
      <c r="N15" s="1124" t="s">
        <v>346</v>
      </c>
      <c r="O15" s="1124" t="s">
        <v>353</v>
      </c>
    </row>
    <row r="16" spans="1:15" x14ac:dyDescent="0.25">
      <c r="A16" s="880" t="s">
        <v>2478</v>
      </c>
      <c r="B16" s="871">
        <v>101</v>
      </c>
      <c r="C16" s="871"/>
      <c r="D16" s="2255"/>
      <c r="E16" s="871"/>
      <c r="F16" s="871"/>
      <c r="G16" s="871"/>
      <c r="H16" s="871"/>
      <c r="I16" s="871"/>
      <c r="J16" s="871"/>
      <c r="K16" s="871"/>
      <c r="L16" s="871"/>
      <c r="M16" s="871"/>
      <c r="N16" s="871"/>
      <c r="O16" s="871"/>
    </row>
    <row r="17" spans="1:15" x14ac:dyDescent="0.25">
      <c r="A17" s="880" t="s">
        <v>2479</v>
      </c>
      <c r="B17" s="871">
        <v>102</v>
      </c>
      <c r="C17" s="871"/>
      <c r="D17" s="2255"/>
      <c r="E17" s="871"/>
      <c r="F17" s="871"/>
      <c r="G17" s="871"/>
      <c r="H17" s="871"/>
      <c r="I17" s="871"/>
      <c r="J17" s="871"/>
      <c r="K17" s="871"/>
      <c r="L17" s="871"/>
      <c r="M17" s="871"/>
      <c r="N17" s="871"/>
      <c r="O17" s="871"/>
    </row>
    <row r="18" spans="1:15" x14ac:dyDescent="0.25">
      <c r="A18" s="880" t="s">
        <v>2480</v>
      </c>
      <c r="B18" s="871">
        <v>103</v>
      </c>
      <c r="C18" s="871"/>
      <c r="D18" s="2255"/>
      <c r="E18" s="871"/>
      <c r="F18" s="871"/>
      <c r="G18" s="871"/>
      <c r="H18" s="871"/>
      <c r="I18" s="871"/>
      <c r="J18" s="871"/>
      <c r="K18" s="871"/>
      <c r="L18" s="871"/>
      <c r="M18" s="871"/>
      <c r="N18" s="871"/>
      <c r="O18" s="871"/>
    </row>
    <row r="19" spans="1:15" x14ac:dyDescent="0.25">
      <c r="A19" s="880" t="s">
        <v>2481</v>
      </c>
      <c r="B19" s="871">
        <v>104</v>
      </c>
      <c r="C19" s="871"/>
      <c r="D19" s="2255"/>
      <c r="E19" s="871"/>
      <c r="F19" s="871"/>
      <c r="G19" s="871"/>
      <c r="H19" s="871"/>
      <c r="I19" s="871"/>
      <c r="J19" s="871"/>
      <c r="K19" s="871"/>
      <c r="L19" s="871"/>
      <c r="M19" s="871"/>
      <c r="N19" s="871"/>
      <c r="O19" s="871"/>
    </row>
    <row r="20" spans="1:15" x14ac:dyDescent="0.25">
      <c r="A20" s="880" t="s">
        <v>2482</v>
      </c>
      <c r="B20" s="871">
        <v>105</v>
      </c>
      <c r="C20" s="871"/>
      <c r="D20" s="2255"/>
      <c r="E20" s="871"/>
      <c r="F20" s="871"/>
      <c r="G20" s="871"/>
      <c r="H20" s="871"/>
      <c r="I20" s="871"/>
      <c r="J20" s="871"/>
      <c r="K20" s="871"/>
      <c r="L20" s="871"/>
      <c r="M20" s="871"/>
      <c r="N20" s="871"/>
      <c r="O20" s="871"/>
    </row>
    <row r="21" spans="1:15" x14ac:dyDescent="0.25">
      <c r="A21" s="880" t="s">
        <v>2483</v>
      </c>
      <c r="B21" s="871">
        <v>106</v>
      </c>
      <c r="C21" s="871"/>
      <c r="D21" s="2255"/>
      <c r="E21" s="871"/>
      <c r="F21" s="871"/>
      <c r="G21" s="871"/>
      <c r="H21" s="871"/>
      <c r="I21" s="871"/>
      <c r="J21" s="871"/>
      <c r="K21" s="871"/>
      <c r="L21" s="871"/>
      <c r="M21" s="871"/>
      <c r="N21" s="871"/>
      <c r="O21" s="871"/>
    </row>
    <row r="22" spans="1:15" x14ac:dyDescent="0.25">
      <c r="A22" s="880" t="s">
        <v>2484</v>
      </c>
      <c r="B22" s="871">
        <v>107</v>
      </c>
      <c r="C22" s="871"/>
      <c r="D22" s="2255"/>
      <c r="E22" s="871"/>
      <c r="F22" s="871"/>
      <c r="G22" s="871"/>
      <c r="H22" s="871"/>
      <c r="I22" s="871"/>
      <c r="J22" s="871"/>
      <c r="K22" s="871"/>
      <c r="L22" s="871"/>
      <c r="M22" s="871"/>
      <c r="N22" s="871"/>
      <c r="O22" s="871"/>
    </row>
    <row r="23" spans="1:15" x14ac:dyDescent="0.25">
      <c r="A23" s="880" t="s">
        <v>2485</v>
      </c>
      <c r="B23" s="871">
        <v>108</v>
      </c>
      <c r="C23" s="871"/>
      <c r="D23" s="2255"/>
      <c r="E23" s="871"/>
      <c r="F23" s="871"/>
      <c r="G23" s="871"/>
      <c r="H23" s="871"/>
      <c r="I23" s="871"/>
      <c r="J23" s="871"/>
      <c r="K23" s="871"/>
      <c r="L23" s="871"/>
      <c r="M23" s="871"/>
      <c r="N23" s="871"/>
      <c r="O23" s="871"/>
    </row>
    <row r="24" spans="1:15" x14ac:dyDescent="0.25">
      <c r="A24" s="880" t="s">
        <v>2486</v>
      </c>
      <c r="B24" s="871">
        <v>110</v>
      </c>
      <c r="C24" s="871"/>
      <c r="D24" s="2255"/>
      <c r="E24" s="871"/>
      <c r="F24" s="871"/>
      <c r="G24" s="871"/>
      <c r="H24" s="871"/>
      <c r="I24" s="871"/>
      <c r="J24" s="871"/>
      <c r="K24" s="871"/>
      <c r="L24" s="871"/>
      <c r="M24" s="871"/>
      <c r="N24" s="871"/>
      <c r="O24" s="871"/>
    </row>
    <row r="25" spans="1:15" x14ac:dyDescent="0.25">
      <c r="A25" s="880" t="s">
        <v>2487</v>
      </c>
      <c r="B25" s="871">
        <v>111</v>
      </c>
      <c r="C25" s="871"/>
      <c r="D25" s="2255"/>
      <c r="E25" s="871"/>
      <c r="F25" s="871"/>
      <c r="G25" s="871"/>
      <c r="H25" s="871"/>
      <c r="I25" s="871"/>
      <c r="J25" s="871"/>
      <c r="K25" s="871"/>
      <c r="L25" s="871"/>
      <c r="M25" s="871"/>
      <c r="N25" s="871"/>
      <c r="O25" s="871"/>
    </row>
    <row r="26" spans="1:15" x14ac:dyDescent="0.25">
      <c r="A26" s="880" t="s">
        <v>2488</v>
      </c>
      <c r="B26" s="871">
        <v>112</v>
      </c>
      <c r="C26" s="871"/>
      <c r="D26" s="2255"/>
      <c r="E26" s="871"/>
      <c r="F26" s="871"/>
      <c r="G26" s="871"/>
      <c r="H26" s="871"/>
      <c r="I26" s="871"/>
      <c r="J26" s="871"/>
      <c r="K26" s="871"/>
      <c r="L26" s="871"/>
      <c r="M26" s="871"/>
      <c r="N26" s="871"/>
      <c r="O26" s="871"/>
    </row>
    <row r="27" spans="1:15" x14ac:dyDescent="0.25">
      <c r="A27" s="880" t="s">
        <v>2489</v>
      </c>
      <c r="B27" s="871">
        <v>113</v>
      </c>
      <c r="C27" s="871"/>
      <c r="D27" s="2255"/>
      <c r="E27" s="871"/>
      <c r="F27" s="871"/>
      <c r="G27" s="871"/>
      <c r="H27" s="871"/>
      <c r="I27" s="871"/>
      <c r="J27" s="871"/>
      <c r="K27" s="871"/>
      <c r="L27" s="871"/>
      <c r="M27" s="871"/>
      <c r="N27" s="871"/>
      <c r="O27" s="871"/>
    </row>
    <row r="28" spans="1:15" x14ac:dyDescent="0.25">
      <c r="A28" s="880" t="s">
        <v>2490</v>
      </c>
      <c r="B28" s="871">
        <v>114</v>
      </c>
      <c r="C28" s="871"/>
      <c r="D28" s="2255"/>
      <c r="E28" s="871"/>
      <c r="F28" s="871"/>
      <c r="G28" s="871"/>
      <c r="H28" s="871"/>
      <c r="I28" s="871"/>
      <c r="J28" s="871"/>
      <c r="K28" s="871"/>
      <c r="L28" s="871"/>
      <c r="M28" s="871"/>
      <c r="N28" s="871"/>
      <c r="O28" s="871"/>
    </row>
    <row r="29" spans="1:15" x14ac:dyDescent="0.25">
      <c r="A29" s="880" t="s">
        <v>2491</v>
      </c>
      <c r="B29" s="871">
        <v>115</v>
      </c>
      <c r="C29" s="871"/>
      <c r="D29" s="2255"/>
      <c r="E29" s="871"/>
      <c r="F29" s="871"/>
      <c r="G29" s="871"/>
      <c r="H29" s="871"/>
      <c r="I29" s="871"/>
      <c r="J29" s="871"/>
      <c r="K29" s="871"/>
      <c r="L29" s="871"/>
      <c r="M29" s="871"/>
      <c r="N29" s="871"/>
      <c r="O29" s="871"/>
    </row>
    <row r="30" spans="1:15" x14ac:dyDescent="0.25">
      <c r="A30" s="880" t="s">
        <v>2492</v>
      </c>
      <c r="B30" s="871">
        <v>117</v>
      </c>
      <c r="C30" s="871"/>
      <c r="D30" s="2255"/>
      <c r="E30" s="871"/>
      <c r="F30" s="871"/>
      <c r="G30" s="871"/>
      <c r="H30" s="871"/>
      <c r="I30" s="871"/>
      <c r="J30" s="871"/>
      <c r="K30" s="871"/>
      <c r="L30" s="871"/>
      <c r="M30" s="871"/>
      <c r="N30" s="871"/>
      <c r="O30" s="871"/>
    </row>
    <row r="31" spans="1:15" x14ac:dyDescent="0.25">
      <c r="A31" s="880" t="s">
        <v>2493</v>
      </c>
      <c r="B31" s="871">
        <v>118</v>
      </c>
      <c r="C31" s="871"/>
      <c r="D31" s="2255"/>
      <c r="E31" s="871"/>
      <c r="F31" s="871"/>
      <c r="G31" s="871"/>
      <c r="H31" s="871"/>
      <c r="I31" s="871"/>
      <c r="J31" s="871"/>
      <c r="K31" s="871"/>
      <c r="L31" s="871"/>
      <c r="M31" s="871"/>
      <c r="N31" s="871"/>
      <c r="O31" s="871"/>
    </row>
    <row r="32" spans="1:15" x14ac:dyDescent="0.25">
      <c r="A32" s="880" t="s">
        <v>2494</v>
      </c>
      <c r="B32" s="871">
        <v>119</v>
      </c>
      <c r="C32" s="871"/>
      <c r="D32" s="2255"/>
      <c r="E32" s="871"/>
      <c r="F32" s="871"/>
      <c r="G32" s="871"/>
      <c r="H32" s="871"/>
      <c r="I32" s="871"/>
      <c r="J32" s="871"/>
      <c r="K32" s="871"/>
      <c r="L32" s="871"/>
      <c r="M32" s="871"/>
      <c r="N32" s="871"/>
      <c r="O32" s="871"/>
    </row>
    <row r="33" spans="1:15" x14ac:dyDescent="0.25">
      <c r="A33" s="880" t="s">
        <v>2495</v>
      </c>
      <c r="B33" s="871">
        <v>121</v>
      </c>
      <c r="C33" s="871"/>
      <c r="D33" s="2255"/>
      <c r="E33" s="871"/>
      <c r="F33" s="871"/>
      <c r="G33" s="871"/>
      <c r="H33" s="871"/>
      <c r="I33" s="871"/>
      <c r="J33" s="871"/>
      <c r="K33" s="871"/>
      <c r="L33" s="871"/>
      <c r="M33" s="871"/>
      <c r="N33" s="871"/>
      <c r="O33" s="871"/>
    </row>
    <row r="34" spans="1:15" x14ac:dyDescent="0.25">
      <c r="A34" s="880" t="s">
        <v>2496</v>
      </c>
      <c r="B34" s="871">
        <v>122</v>
      </c>
      <c r="C34" s="871"/>
      <c r="D34" s="2255"/>
      <c r="E34" s="871"/>
      <c r="F34" s="871"/>
      <c r="G34" s="871"/>
      <c r="H34" s="871"/>
      <c r="I34" s="871"/>
      <c r="J34" s="871"/>
      <c r="K34" s="871"/>
      <c r="L34" s="871"/>
      <c r="M34" s="871"/>
      <c r="N34" s="871"/>
      <c r="O34" s="871"/>
    </row>
    <row r="35" spans="1:15" x14ac:dyDescent="0.25">
      <c r="A35" s="142" t="s">
        <v>2497</v>
      </c>
      <c r="B35" s="871">
        <v>123</v>
      </c>
      <c r="C35" s="142"/>
      <c r="D35" s="2104"/>
      <c r="E35" s="142"/>
      <c r="F35" s="142"/>
      <c r="G35" s="142"/>
      <c r="H35" s="142"/>
      <c r="I35" s="142"/>
      <c r="J35" s="142"/>
      <c r="K35" s="142"/>
      <c r="L35" s="142"/>
      <c r="M35" s="142"/>
      <c r="N35" s="142"/>
      <c r="O35" s="142"/>
    </row>
    <row r="36" spans="1:15" x14ac:dyDescent="0.25">
      <c r="A36" s="142" t="s">
        <v>2498</v>
      </c>
      <c r="B36" s="871">
        <v>124</v>
      </c>
      <c r="C36" s="142"/>
      <c r="D36" s="2104"/>
      <c r="E36" s="142"/>
      <c r="F36" s="142"/>
      <c r="G36" s="142"/>
      <c r="H36" s="142"/>
      <c r="I36" s="142"/>
      <c r="J36" s="142"/>
      <c r="K36" s="142"/>
      <c r="L36" s="142"/>
      <c r="M36" s="142"/>
      <c r="N36" s="142"/>
      <c r="O36" s="142"/>
    </row>
    <row r="37" spans="1:15" x14ac:dyDescent="0.25">
      <c r="A37" s="142" t="s">
        <v>2499</v>
      </c>
      <c r="B37" s="871">
        <v>125</v>
      </c>
      <c r="C37" s="142"/>
      <c r="D37" s="2104"/>
      <c r="E37" s="142"/>
      <c r="F37" s="142"/>
      <c r="G37" s="142"/>
      <c r="H37" s="142"/>
      <c r="I37" s="142"/>
      <c r="J37" s="142"/>
      <c r="K37" s="142"/>
      <c r="L37" s="142"/>
      <c r="M37" s="142"/>
      <c r="N37" s="142"/>
      <c r="O37" s="142"/>
    </row>
    <row r="38" spans="1:15" x14ac:dyDescent="0.25">
      <c r="A38" s="142" t="s">
        <v>2500</v>
      </c>
      <c r="B38" s="871">
        <v>126</v>
      </c>
      <c r="C38" s="142"/>
      <c r="D38" s="2104"/>
      <c r="E38" s="142"/>
      <c r="F38" s="142"/>
      <c r="G38" s="142"/>
      <c r="H38" s="142"/>
      <c r="I38" s="142"/>
      <c r="J38" s="142"/>
      <c r="K38" s="142"/>
      <c r="L38" s="142"/>
      <c r="M38" s="142"/>
      <c r="N38" s="142"/>
      <c r="O38" s="142"/>
    </row>
    <row r="39" spans="1:15" x14ac:dyDescent="0.25">
      <c r="A39" s="142" t="s">
        <v>2501</v>
      </c>
      <c r="B39" s="871">
        <v>128</v>
      </c>
      <c r="C39" s="142"/>
      <c r="D39" s="2104"/>
      <c r="E39" s="142"/>
      <c r="F39" s="142"/>
      <c r="G39" s="142"/>
      <c r="H39" s="142"/>
      <c r="I39" s="142"/>
      <c r="J39" s="142"/>
      <c r="K39" s="142"/>
      <c r="L39" s="142"/>
      <c r="M39" s="142"/>
      <c r="N39" s="142"/>
      <c r="O39" s="142"/>
    </row>
    <row r="40" spans="1:15" x14ac:dyDescent="0.25">
      <c r="A40" s="142" t="s">
        <v>2502</v>
      </c>
      <c r="B40" s="871">
        <v>129</v>
      </c>
      <c r="C40" s="142"/>
      <c r="D40" s="2104"/>
      <c r="E40" s="142"/>
      <c r="F40" s="142"/>
      <c r="G40" s="142"/>
      <c r="H40" s="142"/>
      <c r="I40" s="142"/>
      <c r="J40" s="142"/>
      <c r="K40" s="142"/>
      <c r="L40" s="142"/>
      <c r="M40" s="142"/>
      <c r="N40" s="142"/>
      <c r="O40" s="142"/>
    </row>
    <row r="41" spans="1:15" x14ac:dyDescent="0.25">
      <c r="A41" s="142" t="s">
        <v>2503</v>
      </c>
      <c r="B41" s="871">
        <v>130</v>
      </c>
      <c r="C41" s="142"/>
      <c r="D41" s="2104"/>
      <c r="E41" s="142"/>
      <c r="F41" s="142"/>
      <c r="G41" s="142"/>
      <c r="H41" s="142"/>
      <c r="I41" s="142"/>
      <c r="J41" s="142"/>
      <c r="K41" s="142"/>
      <c r="L41" s="142"/>
      <c r="M41" s="142"/>
      <c r="N41" s="142"/>
      <c r="O41" s="142"/>
    </row>
    <row r="42" spans="1:15" x14ac:dyDescent="0.25">
      <c r="A42" s="142" t="s">
        <v>2504</v>
      </c>
      <c r="B42" s="871">
        <v>131</v>
      </c>
      <c r="C42" s="142"/>
      <c r="D42" s="2104"/>
      <c r="E42" s="142"/>
      <c r="F42" s="142"/>
      <c r="G42" s="142"/>
      <c r="H42" s="142"/>
      <c r="I42" s="142"/>
      <c r="J42" s="142"/>
      <c r="K42" s="142"/>
      <c r="L42" s="142"/>
      <c r="M42" s="142"/>
      <c r="N42" s="142"/>
      <c r="O42" s="142"/>
    </row>
    <row r="43" spans="1:15" x14ac:dyDescent="0.25">
      <c r="A43" s="142" t="s">
        <v>2505</v>
      </c>
      <c r="B43" s="871">
        <v>132</v>
      </c>
      <c r="C43" s="142"/>
      <c r="D43" s="2104"/>
      <c r="E43" s="142"/>
      <c r="F43" s="142"/>
      <c r="G43" s="142"/>
      <c r="H43" s="142"/>
      <c r="I43" s="142"/>
      <c r="J43" s="142"/>
      <c r="K43" s="142"/>
      <c r="L43" s="142"/>
      <c r="M43" s="142"/>
      <c r="N43" s="142"/>
      <c r="O43" s="142"/>
    </row>
    <row r="44" spans="1:15" x14ac:dyDescent="0.25">
      <c r="A44" s="142" t="s">
        <v>2506</v>
      </c>
      <c r="B44" s="871">
        <v>133</v>
      </c>
      <c r="C44" s="142"/>
      <c r="D44" s="2104"/>
      <c r="E44" s="142"/>
      <c r="F44" s="142"/>
      <c r="G44" s="142"/>
      <c r="H44" s="142"/>
      <c r="I44" s="142"/>
      <c r="J44" s="142"/>
      <c r="K44" s="142"/>
      <c r="L44" s="142"/>
      <c r="M44" s="142"/>
      <c r="N44" s="142"/>
      <c r="O44" s="142"/>
    </row>
    <row r="45" spans="1:15" x14ac:dyDescent="0.25">
      <c r="A45" s="142" t="s">
        <v>2507</v>
      </c>
      <c r="B45" s="871">
        <v>134</v>
      </c>
      <c r="C45" s="142"/>
      <c r="D45" s="2104"/>
      <c r="E45" s="142"/>
      <c r="F45" s="142"/>
      <c r="G45" s="142"/>
      <c r="H45" s="142"/>
      <c r="I45" s="142"/>
      <c r="J45" s="142"/>
      <c r="K45" s="142"/>
      <c r="L45" s="142"/>
      <c r="M45" s="142"/>
      <c r="N45" s="142"/>
      <c r="O45" s="142"/>
    </row>
    <row r="46" spans="1:15" x14ac:dyDescent="0.25">
      <c r="A46" s="142" t="s">
        <v>2508</v>
      </c>
      <c r="B46" s="871">
        <v>135</v>
      </c>
      <c r="C46" s="142"/>
      <c r="D46" s="2104"/>
      <c r="E46" s="142"/>
      <c r="F46" s="142"/>
      <c r="G46" s="142"/>
      <c r="H46" s="142"/>
      <c r="I46" s="142"/>
      <c r="J46" s="142"/>
      <c r="K46" s="142"/>
      <c r="L46" s="142"/>
      <c r="M46" s="142"/>
      <c r="N46" s="142"/>
      <c r="O46" s="142"/>
    </row>
    <row r="47" spans="1:15" x14ac:dyDescent="0.25">
      <c r="A47" s="142" t="s">
        <v>2509</v>
      </c>
      <c r="B47" s="871">
        <v>136</v>
      </c>
      <c r="C47" s="142"/>
      <c r="D47" s="2104"/>
      <c r="E47" s="142"/>
      <c r="F47" s="142"/>
      <c r="G47" s="142"/>
      <c r="H47" s="142"/>
      <c r="I47" s="142"/>
      <c r="J47" s="142"/>
      <c r="K47" s="142"/>
      <c r="L47" s="142"/>
      <c r="M47" s="142"/>
      <c r="N47" s="142"/>
      <c r="O47" s="142"/>
    </row>
    <row r="48" spans="1:15" x14ac:dyDescent="0.25">
      <c r="A48" s="142" t="s">
        <v>2510</v>
      </c>
      <c r="B48" s="871">
        <v>137</v>
      </c>
      <c r="C48" s="142"/>
      <c r="D48" s="2104"/>
      <c r="E48" s="142"/>
      <c r="F48" s="142"/>
      <c r="G48" s="142"/>
      <c r="H48" s="142"/>
      <c r="I48" s="142"/>
      <c r="J48" s="142"/>
      <c r="K48" s="142"/>
      <c r="L48" s="142"/>
      <c r="M48" s="142"/>
      <c r="N48" s="142"/>
      <c r="O48" s="142"/>
    </row>
    <row r="49" spans="1:15" x14ac:dyDescent="0.25">
      <c r="A49" s="142" t="s">
        <v>2511</v>
      </c>
      <c r="B49" s="871">
        <v>138</v>
      </c>
      <c r="C49" s="142"/>
      <c r="D49" s="2104"/>
      <c r="E49" s="142"/>
      <c r="F49" s="142"/>
      <c r="G49" s="142"/>
      <c r="H49" s="142"/>
      <c r="I49" s="142"/>
      <c r="J49" s="142"/>
      <c r="K49" s="142"/>
      <c r="L49" s="142"/>
      <c r="M49" s="142"/>
      <c r="N49" s="142"/>
      <c r="O49" s="142"/>
    </row>
    <row r="50" spans="1:15" x14ac:dyDescent="0.25">
      <c r="A50" s="142" t="s">
        <v>2512</v>
      </c>
      <c r="B50" s="871">
        <v>139</v>
      </c>
      <c r="C50" s="142"/>
      <c r="D50" s="2104"/>
      <c r="E50" s="142"/>
      <c r="F50" s="142"/>
      <c r="G50" s="142"/>
      <c r="H50" s="142"/>
      <c r="I50" s="142"/>
      <c r="J50" s="142"/>
      <c r="K50" s="142"/>
      <c r="L50" s="142"/>
      <c r="M50" s="142"/>
      <c r="N50" s="142"/>
      <c r="O50" s="142"/>
    </row>
    <row r="51" spans="1:15" x14ac:dyDescent="0.25">
      <c r="A51" s="142" t="s">
        <v>2513</v>
      </c>
      <c r="B51" s="871">
        <v>140</v>
      </c>
      <c r="C51" s="142"/>
      <c r="D51" s="2104"/>
      <c r="E51" s="142"/>
      <c r="F51" s="142"/>
      <c r="G51" s="142"/>
      <c r="H51" s="142"/>
      <c r="I51" s="142"/>
      <c r="J51" s="142"/>
      <c r="K51" s="142"/>
      <c r="L51" s="142"/>
      <c r="M51" s="142"/>
      <c r="N51" s="142"/>
      <c r="O51" s="142"/>
    </row>
    <row r="57" spans="1:15" ht="14" x14ac:dyDescent="0.3">
      <c r="K57" s="927"/>
    </row>
  </sheetData>
  <mergeCells count="12">
    <mergeCell ref="M7:M13"/>
    <mergeCell ref="N7:N13"/>
    <mergeCell ref="O7:O13"/>
    <mergeCell ref="A7:B7"/>
    <mergeCell ref="C7:C14"/>
    <mergeCell ref="K7:K14"/>
    <mergeCell ref="L7:L14"/>
    <mergeCell ref="I7:I14"/>
    <mergeCell ref="J7:J14"/>
    <mergeCell ref="E7:E14"/>
    <mergeCell ref="F7:H12"/>
    <mergeCell ref="D7:D14"/>
  </mergeCells>
  <pageMargins left="0.314" right="0.314" top="0.11799999999999999" bottom="0.27500000000000002" header="0.157" footer="0.11799999999999999"/>
  <pageSetup scale="78" orientation="landscape"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76D3-054A-4699-B5F7-04C7960D25C8}">
  <dimension ref="A1:G41"/>
  <sheetViews>
    <sheetView view="pageBreakPreview" zoomScale="130" zoomScaleNormal="120" zoomScaleSheetLayoutView="130" zoomScalePageLayoutView="90" workbookViewId="0">
      <selection activeCell="A5" sqref="A5"/>
    </sheetView>
  </sheetViews>
  <sheetFormatPr defaultColWidth="8.81640625" defaultRowHeight="11.5" x14ac:dyDescent="0.25"/>
  <cols>
    <col min="1" max="1" width="8.81640625" style="2567" customWidth="1"/>
    <col min="2" max="2" width="10.81640625" style="2567" customWidth="1"/>
    <col min="3" max="7" width="14.7265625" style="2567" customWidth="1"/>
    <col min="8" max="16384" width="8.81640625" style="823"/>
  </cols>
  <sheetData>
    <row r="1" spans="1:7" x14ac:dyDescent="0.25">
      <c r="A1" s="2566" t="s">
        <v>2686</v>
      </c>
      <c r="C1" s="2568"/>
      <c r="D1" s="2568"/>
      <c r="E1" s="2568"/>
      <c r="F1" s="2568"/>
      <c r="G1" s="2568"/>
    </row>
    <row r="2" spans="1:7" x14ac:dyDescent="0.25">
      <c r="C2" s="2568"/>
      <c r="D2" s="2568"/>
      <c r="E2" s="2568"/>
      <c r="F2" s="2568"/>
      <c r="G2" s="2568"/>
    </row>
    <row r="3" spans="1:7" x14ac:dyDescent="0.25">
      <c r="A3" s="2320" t="s">
        <v>2687</v>
      </c>
      <c r="B3" s="2319" t="s">
        <v>2514</v>
      </c>
      <c r="C3" s="2568"/>
      <c r="D3" s="2568"/>
      <c r="E3" s="2568"/>
      <c r="F3" s="2568"/>
      <c r="G3" s="2568"/>
    </row>
    <row r="4" spans="1:7" x14ac:dyDescent="0.25">
      <c r="A4" s="2320"/>
      <c r="B4" s="2319"/>
      <c r="C4" s="2568"/>
      <c r="D4" s="2568"/>
      <c r="E4" s="2568"/>
      <c r="F4" s="2568"/>
      <c r="G4" s="2568"/>
    </row>
    <row r="5" spans="1:7" x14ac:dyDescent="0.25">
      <c r="A5" s="2562" t="s">
        <v>2515</v>
      </c>
      <c r="B5" s="2319"/>
      <c r="C5" s="2568"/>
      <c r="D5" s="2568"/>
      <c r="E5" s="2568"/>
      <c r="F5" s="2568"/>
      <c r="G5" s="2568"/>
    </row>
    <row r="6" spans="1:7" ht="13.5" customHeight="1" x14ac:dyDescent="0.25">
      <c r="A6" s="2569"/>
      <c r="B6" s="2570"/>
      <c r="C6" s="2570"/>
      <c r="D6" s="2570"/>
      <c r="E6" s="2570"/>
      <c r="F6" s="2570"/>
      <c r="G6" s="2570"/>
    </row>
    <row r="7" spans="1:7" ht="13.5" customHeight="1" x14ac:dyDescent="0.25">
      <c r="A7" s="2635" t="str">
        <f>CONCATENATE("(",20,"A.",TEXT(A27,"00"),")")</f>
        <v>(20A.01)</v>
      </c>
      <c r="B7" s="2635" t="str">
        <f t="shared" ref="B7:G7" si="0">CONCATENATE("(",20,"A.",TEXT(B27,"00"),")")</f>
        <v>(20A.02)</v>
      </c>
      <c r="C7" s="2635" t="str">
        <f t="shared" si="0"/>
        <v>(20A.03)</v>
      </c>
      <c r="D7" s="2635" t="str">
        <f t="shared" si="0"/>
        <v>(20A.04)</v>
      </c>
      <c r="E7" s="2635" t="str">
        <f t="shared" si="0"/>
        <v>(20A.05)</v>
      </c>
      <c r="F7" s="2635" t="str">
        <f t="shared" si="0"/>
        <v>(20A.06)</v>
      </c>
      <c r="G7" s="2635" t="str">
        <f t="shared" si="0"/>
        <v>(20A.07)</v>
      </c>
    </row>
    <row r="8" spans="1:7" ht="12.75" customHeight="1" x14ac:dyDescent="0.25">
      <c r="A8" s="3773" t="s">
        <v>2516</v>
      </c>
      <c r="B8" s="3773" t="s">
        <v>2517</v>
      </c>
      <c r="C8" s="3773" t="s">
        <v>2651</v>
      </c>
      <c r="D8" s="3773" t="s">
        <v>2518</v>
      </c>
      <c r="E8" s="3773" t="s">
        <v>2519</v>
      </c>
      <c r="F8" s="3783" t="s">
        <v>2520</v>
      </c>
      <c r="G8" s="3784" t="s">
        <v>2521</v>
      </c>
    </row>
    <row r="9" spans="1:7" ht="12.75" customHeight="1" x14ac:dyDescent="0.25">
      <c r="A9" s="3774"/>
      <c r="B9" s="3774"/>
      <c r="C9" s="3774"/>
      <c r="D9" s="3774"/>
      <c r="E9" s="3774"/>
      <c r="F9" s="2847"/>
      <c r="G9" s="3785"/>
    </row>
    <row r="10" spans="1:7" ht="12.75" customHeight="1" x14ac:dyDescent="0.25">
      <c r="A10" s="3774"/>
      <c r="B10" s="3774"/>
      <c r="C10" s="3774"/>
      <c r="D10" s="3774"/>
      <c r="E10" s="3774"/>
      <c r="F10" s="2847"/>
      <c r="G10" s="3785"/>
    </row>
    <row r="11" spans="1:7" x14ac:dyDescent="0.25">
      <c r="A11" s="3774"/>
      <c r="B11" s="3774"/>
      <c r="C11" s="3774"/>
      <c r="D11" s="3774"/>
      <c r="E11" s="3774"/>
      <c r="F11" s="2847"/>
      <c r="G11" s="3785"/>
    </row>
    <row r="12" spans="1:7" ht="12.75" customHeight="1" x14ac:dyDescent="0.25">
      <c r="A12" s="3774"/>
      <c r="B12" s="3774"/>
      <c r="C12" s="3774"/>
      <c r="D12" s="3774"/>
      <c r="E12" s="3774"/>
      <c r="F12" s="2847"/>
      <c r="G12" s="3785"/>
    </row>
    <row r="13" spans="1:7" ht="12.75" customHeight="1" x14ac:dyDescent="0.25">
      <c r="A13" s="3774"/>
      <c r="B13" s="3774"/>
      <c r="C13" s="3774"/>
      <c r="D13" s="3774"/>
      <c r="E13" s="3774"/>
      <c r="F13" s="2847"/>
      <c r="G13" s="3785"/>
    </row>
    <row r="14" spans="1:7" x14ac:dyDescent="0.25">
      <c r="A14" s="3774"/>
      <c r="B14" s="3774"/>
      <c r="C14" s="3774"/>
      <c r="D14" s="3774"/>
      <c r="E14" s="3774"/>
      <c r="F14" s="2847"/>
      <c r="G14" s="3785"/>
    </row>
    <row r="15" spans="1:7" x14ac:dyDescent="0.25">
      <c r="A15" s="3774"/>
      <c r="B15" s="3774"/>
      <c r="C15" s="3774"/>
      <c r="D15" s="3774"/>
      <c r="E15" s="3774"/>
      <c r="F15" s="2847"/>
      <c r="G15" s="3785"/>
    </row>
    <row r="16" spans="1:7" x14ac:dyDescent="0.25">
      <c r="A16" s="3774"/>
      <c r="B16" s="3774"/>
      <c r="C16" s="3774"/>
      <c r="D16" s="3774"/>
      <c r="E16" s="3774"/>
      <c r="F16" s="2847"/>
      <c r="G16" s="3785"/>
    </row>
    <row r="17" spans="1:7" ht="13.5" customHeight="1" x14ac:dyDescent="0.25">
      <c r="A17" s="2317" t="s">
        <v>920</v>
      </c>
      <c r="B17" s="2316" t="s">
        <v>2528</v>
      </c>
      <c r="C17" s="2316" t="s">
        <v>2529</v>
      </c>
      <c r="D17" s="2316" t="s">
        <v>2529</v>
      </c>
      <c r="E17" s="2316" t="s">
        <v>2530</v>
      </c>
      <c r="F17" s="2593"/>
      <c r="G17" s="2616" t="s">
        <v>2531</v>
      </c>
    </row>
    <row r="18" spans="1:7" ht="13.5" customHeight="1" x14ac:dyDescent="0.25">
      <c r="A18" s="2599" t="str">
        <f>CONCATENATE("2. Non")</f>
        <v>2. Non</v>
      </c>
      <c r="B18" s="2316" t="s">
        <v>2539</v>
      </c>
      <c r="C18" s="2316" t="s">
        <v>2540</v>
      </c>
      <c r="D18" s="2316" t="s">
        <v>2540</v>
      </c>
      <c r="E18" s="2316" t="s">
        <v>2541</v>
      </c>
      <c r="F18" s="2593"/>
      <c r="G18" s="2636" t="s">
        <v>2542</v>
      </c>
    </row>
    <row r="19" spans="1:7" ht="12.75" customHeight="1" x14ac:dyDescent="0.25">
      <c r="A19" s="2599" t="s">
        <v>2546</v>
      </c>
      <c r="B19" s="2316" t="s">
        <v>2547</v>
      </c>
      <c r="C19" s="2316" t="s">
        <v>2548</v>
      </c>
      <c r="D19" s="2316" t="s">
        <v>2548</v>
      </c>
      <c r="E19" s="2316" t="s">
        <v>2549</v>
      </c>
      <c r="F19" s="2624"/>
      <c r="G19" s="2621" t="s">
        <v>2550</v>
      </c>
    </row>
    <row r="20" spans="1:7" x14ac:dyDescent="0.25">
      <c r="A20" s="2571"/>
      <c r="B20" s="2316" t="s">
        <v>2554</v>
      </c>
      <c r="C20" s="2316" t="s">
        <v>2555</v>
      </c>
      <c r="D20" s="2316" t="s">
        <v>2555</v>
      </c>
      <c r="E20" s="2316" t="s">
        <v>2556</v>
      </c>
      <c r="F20" s="2593"/>
      <c r="G20" s="2621" t="s">
        <v>2557</v>
      </c>
    </row>
    <row r="21" spans="1:7" x14ac:dyDescent="0.25">
      <c r="A21" s="2571"/>
      <c r="B21" s="2316" t="s">
        <v>2561</v>
      </c>
      <c r="C21" s="2316" t="s">
        <v>2561</v>
      </c>
      <c r="D21" s="2316" t="s">
        <v>2561</v>
      </c>
      <c r="E21" s="2316" t="s">
        <v>2561</v>
      </c>
      <c r="F21" s="2593"/>
      <c r="G21" s="2621" t="s">
        <v>2562</v>
      </c>
    </row>
    <row r="22" spans="1:7" x14ac:dyDescent="0.25">
      <c r="A22" s="2599"/>
      <c r="B22" s="2599"/>
      <c r="C22" s="2599"/>
      <c r="D22" s="2316" t="s">
        <v>2564</v>
      </c>
      <c r="E22" s="2599"/>
      <c r="F22" s="2593"/>
      <c r="G22" s="2621" t="s">
        <v>2565</v>
      </c>
    </row>
    <row r="23" spans="1:7" ht="13" customHeight="1" x14ac:dyDescent="0.25">
      <c r="A23" s="2564"/>
      <c r="B23" s="2564"/>
      <c r="C23" s="2564"/>
      <c r="D23" s="2318"/>
      <c r="E23" s="2564"/>
      <c r="F23" s="2612"/>
      <c r="G23" s="2616"/>
    </row>
    <row r="24" spans="1:7" ht="14.25" customHeight="1" thickBot="1" x14ac:dyDescent="0.3">
      <c r="A24" s="2576" t="s">
        <v>346</v>
      </c>
      <c r="B24" s="2576" t="s">
        <v>346</v>
      </c>
      <c r="C24" s="2576" t="s">
        <v>346</v>
      </c>
      <c r="D24" s="2576" t="s">
        <v>346</v>
      </c>
      <c r="E24" s="2577" t="s">
        <v>346</v>
      </c>
      <c r="F24" s="2578" t="s">
        <v>353</v>
      </c>
      <c r="G24" s="2611" t="s">
        <v>346</v>
      </c>
    </row>
    <row r="25" spans="1:7" ht="12" thickTop="1" x14ac:dyDescent="0.25">
      <c r="A25" s="3775"/>
      <c r="B25" s="3777"/>
      <c r="C25" s="3779"/>
      <c r="D25" s="3779"/>
      <c r="E25" s="3779"/>
      <c r="F25" s="3779"/>
      <c r="G25" s="3781"/>
    </row>
    <row r="26" spans="1:7" x14ac:dyDescent="0.25">
      <c r="A26" s="3776"/>
      <c r="B26" s="3778"/>
      <c r="C26" s="3780"/>
      <c r="D26" s="3780"/>
      <c r="E26" s="3780"/>
      <c r="F26" s="3780"/>
      <c r="G26" s="3782"/>
    </row>
    <row r="27" spans="1:7" x14ac:dyDescent="0.25">
      <c r="A27" s="2572">
        <v>1</v>
      </c>
      <c r="B27" s="2572">
        <v>2</v>
      </c>
      <c r="C27" s="2572">
        <v>3</v>
      </c>
      <c r="D27" s="2572">
        <v>4</v>
      </c>
      <c r="E27" s="2572">
        <v>5</v>
      </c>
      <c r="F27" s="2572">
        <v>6</v>
      </c>
      <c r="G27" s="2572">
        <v>7</v>
      </c>
    </row>
    <row r="28" spans="1:7" x14ac:dyDescent="0.25">
      <c r="A28" s="2572"/>
      <c r="B28" s="2572"/>
      <c r="C28" s="2572"/>
      <c r="D28" s="2572"/>
      <c r="E28" s="2572"/>
      <c r="F28" s="2572"/>
      <c r="G28" s="2572"/>
    </row>
    <row r="29" spans="1:7" ht="12" customHeight="1" x14ac:dyDescent="0.25">
      <c r="A29" s="2572"/>
      <c r="B29" s="2572"/>
      <c r="C29" s="2572"/>
      <c r="D29" s="2572"/>
      <c r="E29" s="2572"/>
      <c r="F29" s="2572"/>
      <c r="G29" s="2572"/>
    </row>
    <row r="30" spans="1:7" x14ac:dyDescent="0.25">
      <c r="A30" s="2572"/>
      <c r="B30" s="2572"/>
      <c r="C30" s="2572"/>
      <c r="D30" s="2572"/>
      <c r="E30" s="2572"/>
      <c r="F30" s="2572"/>
      <c r="G30" s="2572"/>
    </row>
    <row r="31" spans="1:7" x14ac:dyDescent="0.25">
      <c r="A31" s="2572"/>
      <c r="B31" s="2572"/>
      <c r="C31" s="2572"/>
      <c r="D31" s="2572"/>
      <c r="E31" s="2572"/>
      <c r="F31" s="2572"/>
      <c r="G31" s="2572"/>
    </row>
    <row r="32" spans="1:7" x14ac:dyDescent="0.25">
      <c r="A32" s="2572"/>
      <c r="B32" s="2572"/>
      <c r="C32" s="2572"/>
      <c r="D32" s="2572"/>
      <c r="E32" s="2572"/>
      <c r="F32" s="2572"/>
      <c r="G32" s="2572"/>
    </row>
    <row r="33" spans="1:7" x14ac:dyDescent="0.25">
      <c r="A33" s="2572"/>
      <c r="B33" s="2572"/>
      <c r="C33" s="2572"/>
      <c r="D33" s="2572"/>
      <c r="E33" s="2572"/>
      <c r="F33" s="2572"/>
      <c r="G33" s="2572"/>
    </row>
    <row r="34" spans="1:7" x14ac:dyDescent="0.25">
      <c r="A34" s="2572"/>
      <c r="B34" s="2572"/>
      <c r="C34" s="2572"/>
      <c r="D34" s="2572"/>
      <c r="E34" s="2572"/>
      <c r="F34" s="2572"/>
      <c r="G34" s="2572"/>
    </row>
    <row r="35" spans="1:7" x14ac:dyDescent="0.25">
      <c r="A35" s="2572"/>
      <c r="B35" s="2572"/>
      <c r="C35" s="2572"/>
      <c r="D35" s="2572"/>
      <c r="E35" s="2572"/>
      <c r="F35" s="2572"/>
      <c r="G35" s="2572"/>
    </row>
    <row r="36" spans="1:7" x14ac:dyDescent="0.25">
      <c r="A36" s="2572"/>
      <c r="B36" s="2572"/>
      <c r="C36" s="2572"/>
      <c r="D36" s="2572"/>
      <c r="E36" s="2572"/>
      <c r="F36" s="2572"/>
      <c r="G36" s="2572"/>
    </row>
    <row r="37" spans="1:7" x14ac:dyDescent="0.25">
      <c r="A37" s="2572"/>
      <c r="B37" s="2572"/>
      <c r="C37" s="2572"/>
      <c r="D37" s="2572"/>
      <c r="E37" s="2572"/>
      <c r="F37" s="2572"/>
      <c r="G37" s="2572"/>
    </row>
    <row r="38" spans="1:7" x14ac:dyDescent="0.25">
      <c r="A38" s="2572"/>
      <c r="B38" s="2572"/>
      <c r="C38" s="2572"/>
      <c r="D38" s="2572"/>
      <c r="E38" s="2572"/>
      <c r="F38" s="2572"/>
      <c r="G38" s="2572"/>
    </row>
    <row r="39" spans="1:7" x14ac:dyDescent="0.25">
      <c r="A39" s="2572"/>
      <c r="B39" s="2572"/>
      <c r="C39" s="2572"/>
      <c r="D39" s="2572"/>
      <c r="E39" s="2572"/>
      <c r="F39" s="2572"/>
      <c r="G39" s="2572"/>
    </row>
    <row r="40" spans="1:7" x14ac:dyDescent="0.25">
      <c r="A40" s="2572"/>
      <c r="B40" s="2572"/>
      <c r="C40" s="2572"/>
      <c r="D40" s="2572"/>
      <c r="E40" s="2572"/>
      <c r="F40" s="2572"/>
      <c r="G40" s="2572"/>
    </row>
    <row r="41" spans="1:7" x14ac:dyDescent="0.25">
      <c r="A41" s="2572"/>
      <c r="B41" s="2572"/>
      <c r="C41" s="2572"/>
      <c r="D41" s="2572"/>
      <c r="E41" s="2572"/>
      <c r="F41" s="2572"/>
      <c r="G41" s="2572"/>
    </row>
  </sheetData>
  <mergeCells count="14">
    <mergeCell ref="E25:E26"/>
    <mergeCell ref="F25:F26"/>
    <mergeCell ref="G25:G26"/>
    <mergeCell ref="E8:E16"/>
    <mergeCell ref="F8:F16"/>
    <mergeCell ref="G8:G16"/>
    <mergeCell ref="A8:A16"/>
    <mergeCell ref="A25:A26"/>
    <mergeCell ref="B25:B26"/>
    <mergeCell ref="C25:C26"/>
    <mergeCell ref="D25:D26"/>
    <mergeCell ref="B8:B16"/>
    <mergeCell ref="C8:C16"/>
    <mergeCell ref="D8:D16"/>
  </mergeCells>
  <pageMargins left="0.314" right="0.314" top="0.11799999999999999" bottom="0.27500000000000002" header="0.157" footer="0.11799999999999999"/>
  <pageSetup scale="94" firstPageNumber="61" orientation="landscape"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C723-58FE-C046-ACCC-F90B7E554989}">
  <dimension ref="A1:CD38"/>
  <sheetViews>
    <sheetView view="pageBreakPreview" zoomScale="140" zoomScaleNormal="120" zoomScaleSheetLayoutView="140" zoomScalePageLayoutView="90" workbookViewId="0"/>
  </sheetViews>
  <sheetFormatPr defaultColWidth="8.81640625" defaultRowHeight="12.5" x14ac:dyDescent="0.25"/>
  <cols>
    <col min="1" max="1" width="8.7265625" style="2601" customWidth="1"/>
    <col min="2" max="2" width="2" style="2601" bestFit="1" customWidth="1"/>
    <col min="3" max="13" width="1.7265625" style="2601" bestFit="1" customWidth="1"/>
    <col min="14" max="19" width="1.7265625" style="2600" bestFit="1" customWidth="1"/>
    <col min="20" max="20" width="7" style="2600" customWidth="1"/>
    <col min="21" max="24" width="5.26953125" style="2600" customWidth="1"/>
    <col min="25" max="26" width="2.26953125" style="2600" customWidth="1"/>
    <col min="27" max="36" width="2.26953125" style="2601" customWidth="1"/>
    <col min="37" max="37" width="8.26953125" style="2601" customWidth="1"/>
    <col min="38" max="38" width="6.26953125" style="2601" customWidth="1"/>
    <col min="39" max="39" width="4.81640625" style="2600" customWidth="1"/>
    <col min="40" max="41" width="4.81640625" style="2601" customWidth="1"/>
    <col min="42" max="45" width="3.81640625" style="2601" customWidth="1"/>
    <col min="46" max="46" width="7.81640625" style="2601" customWidth="1"/>
    <col min="47" max="47" width="9.7265625" style="2601" customWidth="1"/>
    <col min="48" max="48" width="10.26953125" style="2601" customWidth="1"/>
    <col min="49" max="56" width="4.26953125" style="2601" customWidth="1"/>
    <col min="57" max="57" width="2.81640625" style="2601" customWidth="1"/>
    <col min="58" max="60" width="2.81640625" style="2600" customWidth="1"/>
    <col min="61" max="61" width="2.81640625" style="2601" customWidth="1"/>
    <col min="62" max="63" width="2.81640625" style="2600" customWidth="1"/>
    <col min="64" max="65" width="2.81640625" style="2601" customWidth="1"/>
    <col min="66" max="66" width="2.81640625" style="2600" customWidth="1"/>
    <col min="67" max="67" width="7" style="2600" customWidth="1"/>
    <col min="68" max="68" width="8.1796875" style="2600" customWidth="1"/>
    <col min="69" max="69" width="6.81640625" style="2600" customWidth="1"/>
    <col min="70" max="72" width="5.1796875" style="2600" bestFit="1" customWidth="1"/>
    <col min="73" max="73" width="8.81640625" style="2600" customWidth="1"/>
    <col min="74" max="75" width="11.1796875" style="2600" customWidth="1"/>
    <col min="76" max="76" width="2.81640625" style="2601" customWidth="1"/>
    <col min="77" max="79" width="2.81640625" style="2600" customWidth="1"/>
    <col min="80" max="80" width="2.81640625" style="2601" customWidth="1"/>
    <col min="81" max="82" width="2.81640625" style="2600" customWidth="1"/>
    <col min="83" max="16384" width="8.81640625" style="2600"/>
  </cols>
  <sheetData>
    <row r="1" spans="1:82" ht="13" x14ac:dyDescent="0.3">
      <c r="A1" s="2630" t="s">
        <v>2685</v>
      </c>
      <c r="D1" s="2597"/>
      <c r="E1" s="2597"/>
      <c r="F1" s="2597"/>
      <c r="G1" s="2597"/>
      <c r="H1" s="2597"/>
      <c r="I1" s="2597"/>
      <c r="J1" s="2597"/>
      <c r="K1" s="2597"/>
      <c r="L1" s="2597"/>
      <c r="M1" s="2597"/>
      <c r="AA1" s="2597"/>
      <c r="AB1" s="2597"/>
      <c r="AC1" s="2597"/>
      <c r="AD1" s="2597"/>
      <c r="AE1" s="2597"/>
      <c r="AF1" s="2597"/>
      <c r="AG1" s="2597"/>
      <c r="AH1" s="2597"/>
      <c r="AI1" s="2597"/>
      <c r="AJ1" s="2597"/>
      <c r="AK1" s="2597"/>
      <c r="AL1" s="2597"/>
      <c r="AN1" s="2597"/>
      <c r="AO1" s="2597"/>
      <c r="AP1" s="2597"/>
      <c r="AQ1" s="2597"/>
      <c r="AR1" s="2597"/>
      <c r="AS1" s="2597"/>
      <c r="AT1" s="2597"/>
      <c r="AU1" s="2597"/>
      <c r="AV1" s="2597"/>
      <c r="AW1" s="2597"/>
      <c r="AX1" s="2597"/>
      <c r="AY1" s="2597"/>
      <c r="AZ1" s="2597"/>
      <c r="BA1" s="2597"/>
      <c r="BB1" s="2597"/>
      <c r="BC1" s="2597"/>
      <c r="BD1" s="2597"/>
      <c r="BE1" s="2597"/>
      <c r="BI1" s="2597"/>
      <c r="BL1" s="2597"/>
      <c r="BM1" s="2597"/>
      <c r="BX1" s="2597"/>
      <c r="CB1" s="2597"/>
    </row>
    <row r="2" spans="1:82" ht="13" x14ac:dyDescent="0.3">
      <c r="D2" s="2597"/>
      <c r="E2" s="2597"/>
      <c r="F2" s="2597"/>
      <c r="G2" s="2597"/>
      <c r="H2" s="2597"/>
      <c r="I2" s="2597"/>
      <c r="J2" s="2597"/>
      <c r="K2" s="2597"/>
      <c r="L2" s="2597"/>
      <c r="M2" s="2597"/>
      <c r="AA2" s="2597"/>
      <c r="AB2" s="2597"/>
      <c r="AC2" s="2597"/>
      <c r="AD2" s="2597"/>
      <c r="AE2" s="2597"/>
      <c r="AF2" s="2597"/>
      <c r="AG2" s="2597"/>
      <c r="AH2" s="2597"/>
      <c r="AI2" s="2597"/>
      <c r="AJ2" s="2597"/>
      <c r="AK2" s="2597"/>
      <c r="AL2" s="2597"/>
      <c r="AN2" s="2597"/>
      <c r="AO2" s="2597"/>
      <c r="AP2" s="2597"/>
      <c r="AQ2" s="2597"/>
      <c r="AR2" s="2597"/>
      <c r="AS2" s="2597"/>
      <c r="AT2" s="2597"/>
      <c r="AU2" s="2597"/>
      <c r="AV2" s="2597"/>
      <c r="AW2" s="2597"/>
      <c r="AX2" s="2597"/>
      <c r="AY2" s="2597"/>
      <c r="AZ2" s="2597"/>
      <c r="BA2" s="2597"/>
      <c r="BB2" s="2597"/>
      <c r="BC2" s="2597"/>
      <c r="BD2" s="2597"/>
      <c r="BE2" s="2597"/>
      <c r="BI2" s="2597"/>
      <c r="BL2" s="2597"/>
      <c r="BM2" s="2597"/>
      <c r="BX2" s="2597"/>
      <c r="CB2" s="2597"/>
    </row>
    <row r="3" spans="1:82" ht="13" x14ac:dyDescent="0.3">
      <c r="A3" s="2573" t="s">
        <v>2743</v>
      </c>
      <c r="B3" s="2628"/>
      <c r="C3" s="2628"/>
      <c r="D3" s="2597"/>
      <c r="E3" s="2597"/>
      <c r="F3" s="2597"/>
      <c r="G3" s="2597"/>
      <c r="H3" s="2597"/>
      <c r="I3" s="2597"/>
      <c r="J3" s="2597"/>
      <c r="K3" s="2597"/>
      <c r="L3" s="2597"/>
      <c r="M3" s="2597"/>
      <c r="AA3" s="2597"/>
      <c r="AB3" s="2597"/>
      <c r="AC3" s="2597"/>
      <c r="AD3" s="2597"/>
      <c r="AE3" s="2597"/>
      <c r="AF3" s="2597"/>
      <c r="AG3" s="2597"/>
      <c r="AH3" s="2597"/>
      <c r="AI3" s="2597"/>
      <c r="AJ3" s="2597"/>
      <c r="AK3" s="2597"/>
      <c r="AL3" s="2597"/>
      <c r="AN3" s="2597"/>
      <c r="AO3" s="2597"/>
      <c r="AP3" s="2597"/>
      <c r="AQ3" s="2597"/>
      <c r="AR3" s="2597"/>
      <c r="AS3" s="2597"/>
      <c r="AT3" s="2597"/>
      <c r="AU3" s="2597"/>
      <c r="AV3" s="2597"/>
      <c r="AW3" s="2597"/>
      <c r="AX3" s="2597"/>
      <c r="AY3" s="2597"/>
      <c r="AZ3" s="2597"/>
      <c r="BA3" s="2597"/>
      <c r="BB3" s="2597"/>
      <c r="BC3" s="2597"/>
      <c r="BD3" s="2597"/>
      <c r="BE3" s="2597"/>
      <c r="BI3" s="2597"/>
      <c r="BL3" s="2597"/>
      <c r="BM3" s="2597"/>
      <c r="BX3" s="2597"/>
      <c r="CB3" s="2597"/>
    </row>
    <row r="4" spans="1:82" ht="13" x14ac:dyDescent="0.3">
      <c r="A4" s="2629"/>
      <c r="B4" s="2628"/>
      <c r="C4" s="2628"/>
      <c r="D4" s="2597"/>
      <c r="E4" s="2597"/>
      <c r="F4" s="2597"/>
      <c r="G4" s="2597"/>
      <c r="H4" s="2597"/>
      <c r="I4" s="2597"/>
      <c r="J4" s="2597"/>
      <c r="K4" s="2597"/>
      <c r="L4" s="2597"/>
      <c r="M4" s="2597"/>
      <c r="AA4" s="2597"/>
      <c r="AB4" s="2597"/>
      <c r="AC4" s="2597"/>
      <c r="AD4" s="2597"/>
      <c r="AE4" s="2597"/>
      <c r="AF4" s="2597"/>
      <c r="AG4" s="2597"/>
      <c r="AH4" s="2597"/>
      <c r="AI4" s="2597"/>
      <c r="AJ4" s="2597"/>
      <c r="AK4" s="2597"/>
      <c r="AL4" s="2597"/>
      <c r="AN4" s="2597"/>
      <c r="AO4" s="2597"/>
      <c r="AP4" s="2597"/>
      <c r="AQ4" s="2597"/>
      <c r="AR4" s="2597"/>
      <c r="AS4" s="2597"/>
      <c r="AT4" s="2597"/>
      <c r="AU4" s="2597"/>
      <c r="AV4" s="2597"/>
      <c r="AW4" s="2597"/>
      <c r="AX4" s="2597"/>
      <c r="AY4" s="2597"/>
      <c r="AZ4" s="2597"/>
      <c r="BA4" s="2597"/>
      <c r="BB4" s="2597"/>
      <c r="BC4" s="2597"/>
      <c r="BD4" s="2597"/>
      <c r="BE4" s="2597"/>
      <c r="BI4" s="2597"/>
      <c r="BL4" s="2597"/>
      <c r="BM4" s="2597"/>
      <c r="BX4" s="2597"/>
      <c r="CB4" s="2597"/>
    </row>
    <row r="5" spans="1:82" ht="13" x14ac:dyDescent="0.3">
      <c r="A5" s="2598" t="s">
        <v>2744</v>
      </c>
      <c r="B5" s="2319"/>
      <c r="C5" s="2597"/>
      <c r="D5" s="2597"/>
      <c r="E5" s="2597"/>
      <c r="F5" s="2597"/>
      <c r="G5" s="2597"/>
      <c r="H5" s="2597"/>
      <c r="I5" s="2597"/>
      <c r="J5" s="2597"/>
      <c r="K5" s="2597"/>
      <c r="L5" s="2597"/>
      <c r="M5" s="2597"/>
      <c r="N5" s="2597"/>
      <c r="O5" s="2597"/>
      <c r="P5" s="2597"/>
      <c r="Q5" s="2597"/>
      <c r="R5" s="2597"/>
      <c r="S5" s="2597"/>
      <c r="T5" s="2597"/>
      <c r="W5" s="2597"/>
      <c r="X5" s="2597"/>
      <c r="Y5" s="2597"/>
      <c r="Z5" s="2597"/>
      <c r="AA5" s="2597"/>
      <c r="AB5" s="2597"/>
      <c r="AC5" s="2597"/>
      <c r="AD5" s="2597"/>
      <c r="AE5" s="2597"/>
      <c r="AF5" s="2597"/>
      <c r="AG5" s="2597"/>
      <c r="AH5" s="2597"/>
      <c r="AI5" s="2597"/>
      <c r="AJ5" s="2597"/>
      <c r="AK5" s="2597"/>
      <c r="AL5" s="2597"/>
      <c r="AN5" s="2600"/>
      <c r="AO5" s="2597"/>
      <c r="AP5" s="2600"/>
      <c r="AQ5" s="2600"/>
      <c r="AR5" s="2597"/>
      <c r="AS5" s="2597"/>
      <c r="AT5" s="2597"/>
      <c r="AU5" s="2597"/>
      <c r="AV5" s="2597"/>
      <c r="AW5" s="2600"/>
      <c r="AX5" s="2600"/>
      <c r="AY5" s="2600"/>
      <c r="AZ5" s="2600"/>
      <c r="BA5" s="2600"/>
      <c r="BB5" s="2600"/>
      <c r="BC5" s="2597"/>
      <c r="BD5" s="2597"/>
      <c r="BE5" s="2600"/>
      <c r="BI5" s="2600"/>
      <c r="BL5" s="2600"/>
      <c r="BM5" s="2600"/>
      <c r="BX5" s="2600"/>
      <c r="CB5" s="2600"/>
    </row>
    <row r="6" spans="1:82" ht="13.5" customHeight="1" x14ac:dyDescent="0.3">
      <c r="A6" s="2597"/>
      <c r="B6" s="2597"/>
      <c r="C6" s="2597"/>
      <c r="D6" s="2597"/>
      <c r="E6" s="2597"/>
      <c r="F6" s="2597"/>
      <c r="G6" s="2597"/>
      <c r="H6" s="2597"/>
      <c r="I6" s="2597"/>
      <c r="J6" s="2597"/>
      <c r="K6" s="2597"/>
      <c r="L6" s="2597"/>
      <c r="M6" s="2597"/>
      <c r="N6" s="2597"/>
      <c r="O6" s="2597"/>
      <c r="P6" s="2597"/>
      <c r="Q6" s="2597"/>
      <c r="R6" s="2597"/>
      <c r="S6" s="2597"/>
      <c r="T6" s="2597"/>
      <c r="W6" s="2627"/>
      <c r="X6" s="2627"/>
      <c r="Y6" s="2597"/>
      <c r="Z6" s="2597"/>
      <c r="AA6" s="2597"/>
      <c r="AB6" s="2597"/>
      <c r="AC6" s="2597"/>
      <c r="AD6" s="2597"/>
      <c r="AE6" s="2597"/>
      <c r="AF6" s="2597"/>
      <c r="AG6" s="2597"/>
      <c r="AH6" s="2597"/>
      <c r="AI6" s="2597"/>
      <c r="AJ6" s="2597"/>
      <c r="AK6" s="2597"/>
      <c r="AL6" s="2597"/>
      <c r="AN6" s="2600"/>
      <c r="AO6" s="2597"/>
      <c r="AP6" s="2600"/>
      <c r="AQ6" s="2600"/>
      <c r="AR6" s="2627"/>
      <c r="AS6" s="2627"/>
      <c r="AT6" s="2597"/>
      <c r="AU6" s="2597"/>
      <c r="AV6" s="2597"/>
      <c r="AW6" s="2600"/>
      <c r="AX6" s="2600"/>
      <c r="AY6" s="2600"/>
      <c r="AZ6" s="2600"/>
      <c r="BA6" s="2600"/>
      <c r="BB6" s="2600"/>
      <c r="BC6" s="2597"/>
      <c r="BD6" s="2597"/>
      <c r="BE6" s="2600"/>
      <c r="BI6" s="2600"/>
      <c r="BL6" s="2600"/>
      <c r="BM6" s="2600"/>
      <c r="BX6" s="2600"/>
      <c r="CB6" s="2600"/>
    </row>
    <row r="7" spans="1:82" ht="13.5" customHeight="1" x14ac:dyDescent="0.25">
      <c r="A7" s="2592" t="str">
        <f>CONCATENATE("(",20,"B.",TEXT(A26,"00"),")")</f>
        <v>(20B.01)</v>
      </c>
      <c r="B7" s="3803" t="str">
        <f>CONCATENATE("(",20,"B.",TEXT(B26,"00"),")")</f>
        <v>(20B.02)</v>
      </c>
      <c r="C7" s="3804"/>
      <c r="D7" s="3804"/>
      <c r="E7" s="3804"/>
      <c r="F7" s="3804"/>
      <c r="G7" s="3804"/>
      <c r="H7" s="3804"/>
      <c r="I7" s="3804"/>
      <c r="J7" s="3804"/>
      <c r="K7" s="3804"/>
      <c r="L7" s="3804"/>
      <c r="M7" s="3804"/>
      <c r="N7" s="3804"/>
      <c r="O7" s="3804"/>
      <c r="P7" s="3804"/>
      <c r="Q7" s="3804"/>
      <c r="R7" s="3804"/>
      <c r="S7" s="3805"/>
      <c r="T7" s="2592" t="str">
        <f>CONCATENATE("(",20,"B.",TEXT(T26,"00"),")")</f>
        <v>(20B.03)</v>
      </c>
      <c r="U7" s="3806" t="str">
        <f>CONCATENATE("(",20,"B.",TEXT(U26,"00"),")")</f>
        <v>(20B.04)</v>
      </c>
      <c r="V7" s="3807"/>
      <c r="W7" s="3807"/>
      <c r="X7" s="3808"/>
      <c r="Y7" s="3815" t="str">
        <f>CONCATENATE("(",20,"B.",TEXT(Y26,"00"),")")</f>
        <v>(20B.05)</v>
      </c>
      <c r="Z7" s="3804"/>
      <c r="AA7" s="3804"/>
      <c r="AB7" s="3804"/>
      <c r="AC7" s="3804"/>
      <c r="AD7" s="3804"/>
      <c r="AE7" s="3804"/>
      <c r="AF7" s="3804"/>
      <c r="AG7" s="3804"/>
      <c r="AH7" s="3804"/>
      <c r="AI7" s="3804"/>
      <c r="AJ7" s="3805"/>
      <c r="AK7" s="2592" t="str">
        <f>CONCATENATE("(",20,"B.",TEXT(AK26,"00"),"a)")</f>
        <v>(20B.06a)</v>
      </c>
      <c r="AL7" s="2592" t="str">
        <f>CONCATENATE("(",20,"B.",TEXT(AL26,"00"),"b)")</f>
        <v>(20B.06b)</v>
      </c>
      <c r="AM7" s="2626" t="str">
        <f>CONCATENATE("(",20,"B.",TEXT(AM26,"00"),")")</f>
        <v>(20B.07)</v>
      </c>
      <c r="AN7" s="2625"/>
      <c r="AO7" s="2625"/>
      <c r="AP7" s="3816" t="str">
        <f>CONCATENATE("(",20,"B.",TEXT(AP26,"00"),")")</f>
        <v>(20B.08)</v>
      </c>
      <c r="AQ7" s="3817"/>
      <c r="AR7" s="3817"/>
      <c r="AS7" s="3818"/>
      <c r="AT7" s="2641" t="str">
        <f>CONCATENATE("(",20,"B.",TEXT(AT26,"00"),")")</f>
        <v>(20B.09)</v>
      </c>
      <c r="AU7" s="2641" t="str">
        <f>CONCATENATE("(",20,"B.",TEXT(AU26,"00"),")")</f>
        <v>(20B.10)</v>
      </c>
      <c r="AV7" s="2641" t="str">
        <f>CONCATENATE("(",20,"B.",TEXT(AV26,"00"),")")</f>
        <v>(20B.11)</v>
      </c>
      <c r="AW7" s="3816" t="str">
        <f>CONCATENATE("(",20,"B.",TEXT(AW26,"00"),")")</f>
        <v>(20B.12)</v>
      </c>
      <c r="AX7" s="3817"/>
      <c r="AY7" s="3817"/>
      <c r="AZ7" s="3817"/>
      <c r="BA7" s="3817"/>
      <c r="BB7" s="3817"/>
      <c r="BC7" s="3817"/>
      <c r="BD7" s="3607"/>
      <c r="BE7" s="3816" t="str">
        <f>CONCATENATE("(",20,"B.",TEXT(BE26,"00"),")")</f>
        <v>(20B.13)</v>
      </c>
      <c r="BF7" s="3817"/>
      <c r="BG7" s="3817"/>
      <c r="BH7" s="3817"/>
      <c r="BI7" s="3817"/>
      <c r="BJ7" s="3817"/>
      <c r="BK7" s="3817"/>
      <c r="BL7" s="3817"/>
      <c r="BM7" s="3817"/>
      <c r="BN7" s="3817"/>
      <c r="BO7" s="2641" t="str">
        <f>CONCATENATE("(",20,"B.",TEXT(BO26,"00"),"a)")</f>
        <v>(20B.14a)</v>
      </c>
      <c r="BP7" s="2641" t="str">
        <f>CONCATENATE("(",20,"B.",TEXT(BP26,"00"),"b)")</f>
        <v>(20B.14b)</v>
      </c>
      <c r="BQ7" s="2641" t="str">
        <f>CONCATENATE("(",20,"B.",TEXT(BQ26,"00"),"c)")</f>
        <v>(20B.14c)</v>
      </c>
      <c r="BR7" s="3816" t="str">
        <f>CONCATENATE("(",20,"B.",TEXT(BR26,"00"),")")</f>
        <v>(20B.15)</v>
      </c>
      <c r="BS7" s="3817"/>
      <c r="BT7" s="3607"/>
      <c r="BU7" s="2641" t="str">
        <f>CONCATENATE("(",20,"B.",TEXT(BU26,"00"),")")</f>
        <v>(20B.16)</v>
      </c>
      <c r="BV7" s="3803" t="str">
        <f>CONCATENATE("(",20,"B.",TEXT(BV26,"00"),")")</f>
        <v>(20B.17)</v>
      </c>
      <c r="BW7" s="3842"/>
      <c r="BX7" s="3816" t="str">
        <f>CONCATENATE("(",20,"B.",TEXT(BX26,"00"),")")</f>
        <v>(20B.18)</v>
      </c>
      <c r="BY7" s="3817"/>
      <c r="BZ7" s="3817"/>
      <c r="CA7" s="3817"/>
      <c r="CB7" s="3817"/>
      <c r="CC7" s="3817"/>
      <c r="CD7" s="3607"/>
    </row>
    <row r="8" spans="1:82" ht="12.75" customHeight="1" x14ac:dyDescent="0.25">
      <c r="A8" s="3786" t="s">
        <v>2684</v>
      </c>
      <c r="B8" s="3789" t="s">
        <v>2722</v>
      </c>
      <c r="C8" s="3789"/>
      <c r="D8" s="3789"/>
      <c r="E8" s="3789"/>
      <c r="F8" s="3789"/>
      <c r="G8" s="3789"/>
      <c r="H8" s="3789"/>
      <c r="I8" s="3789"/>
      <c r="J8" s="3789"/>
      <c r="K8" s="3789"/>
      <c r="L8" s="3789"/>
      <c r="M8" s="3789"/>
      <c r="N8" s="3789"/>
      <c r="O8" s="3789"/>
      <c r="P8" s="3789"/>
      <c r="Q8" s="3789"/>
      <c r="R8" s="3789"/>
      <c r="S8" s="3790"/>
      <c r="T8" s="3789" t="s">
        <v>2683</v>
      </c>
      <c r="U8" s="3774" t="s">
        <v>2690</v>
      </c>
      <c r="V8" s="3222"/>
      <c r="W8" s="3222"/>
      <c r="X8" s="3785"/>
      <c r="Y8" s="3773" t="s">
        <v>2723</v>
      </c>
      <c r="Z8" s="3789"/>
      <c r="AA8" s="3789"/>
      <c r="AB8" s="3789"/>
      <c r="AC8" s="3789"/>
      <c r="AD8" s="3789"/>
      <c r="AE8" s="3789"/>
      <c r="AF8" s="3789"/>
      <c r="AG8" s="3789"/>
      <c r="AH8" s="3789"/>
      <c r="AI8" s="3789"/>
      <c r="AJ8" s="3790"/>
      <c r="AK8" s="3790" t="s">
        <v>2682</v>
      </c>
      <c r="AL8" s="3773" t="s">
        <v>2681</v>
      </c>
      <c r="AM8" s="3789" t="s">
        <v>2725</v>
      </c>
      <c r="AN8" s="3789"/>
      <c r="AO8" s="3790"/>
      <c r="AP8" s="3774" t="s">
        <v>2680</v>
      </c>
      <c r="AQ8" s="3222"/>
      <c r="AR8" s="3222"/>
      <c r="AS8" s="3785"/>
      <c r="AT8" s="3790" t="s">
        <v>2679</v>
      </c>
      <c r="AU8" s="3783" t="s">
        <v>2678</v>
      </c>
      <c r="AV8" s="3819" t="s">
        <v>2677</v>
      </c>
      <c r="AW8" s="3821" t="s">
        <v>2696</v>
      </c>
      <c r="AX8" s="3822"/>
      <c r="AY8" s="3822"/>
      <c r="AZ8" s="3822"/>
      <c r="BA8" s="3822"/>
      <c r="BB8" s="3822"/>
      <c r="BC8" s="3822"/>
      <c r="BD8" s="3843"/>
      <c r="BE8" s="3821" t="s">
        <v>2692</v>
      </c>
      <c r="BF8" s="3822"/>
      <c r="BG8" s="3822"/>
      <c r="BH8" s="3822"/>
      <c r="BI8" s="3822"/>
      <c r="BJ8" s="3822"/>
      <c r="BK8" s="3822"/>
      <c r="BL8" s="3822"/>
      <c r="BM8" s="3822"/>
      <c r="BN8" s="3822"/>
      <c r="BO8" s="3850" t="s">
        <v>2693</v>
      </c>
      <c r="BP8" s="3800" t="s">
        <v>2694</v>
      </c>
      <c r="BQ8" s="3800" t="s">
        <v>2695</v>
      </c>
      <c r="BR8" s="3774" t="s">
        <v>2700</v>
      </c>
      <c r="BS8" s="3222"/>
      <c r="BT8" s="3785"/>
      <c r="BU8" s="3850" t="s">
        <v>2701</v>
      </c>
      <c r="BV8" s="3825" t="s">
        <v>2729</v>
      </c>
      <c r="BW8" s="3826"/>
      <c r="BX8" s="2807" t="s">
        <v>2730</v>
      </c>
      <c r="BY8" s="3831"/>
      <c r="BZ8" s="3831"/>
      <c r="CA8" s="3831"/>
      <c r="CB8" s="3831"/>
      <c r="CC8" s="3831"/>
      <c r="CD8" s="3831"/>
    </row>
    <row r="9" spans="1:82" ht="12.75" customHeight="1" x14ac:dyDescent="0.25">
      <c r="A9" s="2782"/>
      <c r="B9" s="3222"/>
      <c r="C9" s="3222"/>
      <c r="D9" s="3222"/>
      <c r="E9" s="3222"/>
      <c r="F9" s="3222"/>
      <c r="G9" s="3222"/>
      <c r="H9" s="3222"/>
      <c r="I9" s="3222"/>
      <c r="J9" s="3222"/>
      <c r="K9" s="3222"/>
      <c r="L9" s="3222"/>
      <c r="M9" s="3222"/>
      <c r="N9" s="3222"/>
      <c r="O9" s="3222"/>
      <c r="P9" s="3222"/>
      <c r="Q9" s="3222"/>
      <c r="R9" s="3222"/>
      <c r="S9" s="3785"/>
      <c r="T9" s="3222"/>
      <c r="U9" s="3774"/>
      <c r="V9" s="3222"/>
      <c r="W9" s="3222"/>
      <c r="X9" s="3785"/>
      <c r="Y9" s="3774"/>
      <c r="Z9" s="3222"/>
      <c r="AA9" s="3222"/>
      <c r="AB9" s="3222"/>
      <c r="AC9" s="3222"/>
      <c r="AD9" s="3222"/>
      <c r="AE9" s="3222"/>
      <c r="AF9" s="3222"/>
      <c r="AG9" s="3222"/>
      <c r="AH9" s="3222"/>
      <c r="AI9" s="3222"/>
      <c r="AJ9" s="3785"/>
      <c r="AK9" s="3785"/>
      <c r="AL9" s="3774"/>
      <c r="AM9" s="3222"/>
      <c r="AN9" s="3222"/>
      <c r="AO9" s="3785"/>
      <c r="AP9" s="3774"/>
      <c r="AQ9" s="3222"/>
      <c r="AR9" s="3222"/>
      <c r="AS9" s="3785"/>
      <c r="AT9" s="3785"/>
      <c r="AU9" s="2847"/>
      <c r="AV9" s="3820"/>
      <c r="AW9" s="2807"/>
      <c r="AX9" s="3222"/>
      <c r="AY9" s="3222"/>
      <c r="AZ9" s="3222"/>
      <c r="BA9" s="3222"/>
      <c r="BB9" s="3222"/>
      <c r="BC9" s="3222"/>
      <c r="BD9" s="2852"/>
      <c r="BE9" s="2807"/>
      <c r="BF9" s="3222"/>
      <c r="BG9" s="3222"/>
      <c r="BH9" s="3222"/>
      <c r="BI9" s="3222"/>
      <c r="BJ9" s="3222"/>
      <c r="BK9" s="3222"/>
      <c r="BL9" s="3222"/>
      <c r="BM9" s="3222"/>
      <c r="BN9" s="3222"/>
      <c r="BO9" s="2782"/>
      <c r="BP9" s="3253"/>
      <c r="BQ9" s="3253"/>
      <c r="BR9" s="3774"/>
      <c r="BS9" s="3222"/>
      <c r="BT9" s="3785"/>
      <c r="BU9" s="2782"/>
      <c r="BV9" s="2807"/>
      <c r="BW9" s="2852"/>
      <c r="BX9" s="2807"/>
      <c r="BY9" s="3831"/>
      <c r="BZ9" s="3831"/>
      <c r="CA9" s="3831"/>
      <c r="CB9" s="3831"/>
      <c r="CC9" s="3831"/>
      <c r="CD9" s="3831"/>
    </row>
    <row r="10" spans="1:82" ht="12.75" customHeight="1" x14ac:dyDescent="0.25">
      <c r="A10" s="2782"/>
      <c r="B10" s="3222"/>
      <c r="C10" s="3222"/>
      <c r="D10" s="3222"/>
      <c r="E10" s="3222"/>
      <c r="F10" s="3222"/>
      <c r="G10" s="3222"/>
      <c r="H10" s="3222"/>
      <c r="I10" s="3222"/>
      <c r="J10" s="3222"/>
      <c r="K10" s="3222"/>
      <c r="L10" s="3222"/>
      <c r="M10" s="3222"/>
      <c r="N10" s="3222"/>
      <c r="O10" s="3222"/>
      <c r="P10" s="3222"/>
      <c r="Q10" s="3222"/>
      <c r="R10" s="3222"/>
      <c r="S10" s="3785"/>
      <c r="T10" s="3222"/>
      <c r="U10" s="3774"/>
      <c r="V10" s="3222"/>
      <c r="W10" s="3222"/>
      <c r="X10" s="3785"/>
      <c r="Y10" s="3774"/>
      <c r="Z10" s="3222"/>
      <c r="AA10" s="3222"/>
      <c r="AB10" s="3222"/>
      <c r="AC10" s="3222"/>
      <c r="AD10" s="3222"/>
      <c r="AE10" s="3222"/>
      <c r="AF10" s="3222"/>
      <c r="AG10" s="3222"/>
      <c r="AH10" s="3222"/>
      <c r="AI10" s="3222"/>
      <c r="AJ10" s="3785"/>
      <c r="AK10" s="3785"/>
      <c r="AL10" s="3774"/>
      <c r="AM10" s="3222"/>
      <c r="AN10" s="3222"/>
      <c r="AO10" s="3785"/>
      <c r="AP10" s="3774"/>
      <c r="AQ10" s="3222"/>
      <c r="AR10" s="3222"/>
      <c r="AS10" s="3785"/>
      <c r="AT10" s="3785"/>
      <c r="AU10" s="2847"/>
      <c r="AV10" s="3820"/>
      <c r="AW10" s="2807"/>
      <c r="AX10" s="3222"/>
      <c r="AY10" s="3222"/>
      <c r="AZ10" s="3222"/>
      <c r="BA10" s="3222"/>
      <c r="BB10" s="3222"/>
      <c r="BC10" s="3222"/>
      <c r="BD10" s="2852"/>
      <c r="BE10" s="2807"/>
      <c r="BF10" s="3222"/>
      <c r="BG10" s="3222"/>
      <c r="BH10" s="3222"/>
      <c r="BI10" s="3222"/>
      <c r="BJ10" s="3222"/>
      <c r="BK10" s="3222"/>
      <c r="BL10" s="3222"/>
      <c r="BM10" s="3222"/>
      <c r="BN10" s="3222"/>
      <c r="BO10" s="2782"/>
      <c r="BP10" s="3253"/>
      <c r="BQ10" s="3253"/>
      <c r="BR10" s="3774"/>
      <c r="BS10" s="3222"/>
      <c r="BT10" s="3785"/>
      <c r="BU10" s="2782"/>
      <c r="BV10" s="2807"/>
      <c r="BW10" s="2852"/>
      <c r="BX10" s="2807"/>
      <c r="BY10" s="3831"/>
      <c r="BZ10" s="3831"/>
      <c r="CA10" s="3831"/>
      <c r="CB10" s="3831"/>
      <c r="CC10" s="3831"/>
      <c r="CD10" s="3831"/>
    </row>
    <row r="11" spans="1:82" ht="13" customHeight="1" x14ac:dyDescent="0.25">
      <c r="A11" s="2782"/>
      <c r="B11" s="3222"/>
      <c r="C11" s="3222"/>
      <c r="D11" s="3222"/>
      <c r="E11" s="3222"/>
      <c r="F11" s="3222"/>
      <c r="G11" s="3222"/>
      <c r="H11" s="3222"/>
      <c r="I11" s="3222"/>
      <c r="J11" s="3222"/>
      <c r="K11" s="3222"/>
      <c r="L11" s="3222"/>
      <c r="M11" s="3222"/>
      <c r="N11" s="3222"/>
      <c r="O11" s="3222"/>
      <c r="P11" s="3222"/>
      <c r="Q11" s="3222"/>
      <c r="R11" s="3222"/>
      <c r="S11" s="3785"/>
      <c r="T11" s="3222"/>
      <c r="U11" s="3774"/>
      <c r="V11" s="3222"/>
      <c r="W11" s="3222"/>
      <c r="X11" s="3785"/>
      <c r="Y11" s="3774"/>
      <c r="Z11" s="3222"/>
      <c r="AA11" s="3222"/>
      <c r="AB11" s="3222"/>
      <c r="AC11" s="3222"/>
      <c r="AD11" s="3222"/>
      <c r="AE11" s="3222"/>
      <c r="AF11" s="3222"/>
      <c r="AG11" s="3222"/>
      <c r="AH11" s="3222"/>
      <c r="AI11" s="3222"/>
      <c r="AJ11" s="3785"/>
      <c r="AK11" s="3785"/>
      <c r="AL11" s="3774"/>
      <c r="AM11" s="3222"/>
      <c r="AN11" s="3222"/>
      <c r="AO11" s="3785"/>
      <c r="AP11" s="3774"/>
      <c r="AQ11" s="3222"/>
      <c r="AR11" s="3222"/>
      <c r="AS11" s="3785"/>
      <c r="AT11" s="3785"/>
      <c r="AU11" s="2847"/>
      <c r="AV11" s="3820"/>
      <c r="AW11" s="2807"/>
      <c r="AX11" s="3222"/>
      <c r="AY11" s="3222"/>
      <c r="AZ11" s="3222"/>
      <c r="BA11" s="3222"/>
      <c r="BB11" s="3222"/>
      <c r="BC11" s="3222"/>
      <c r="BD11" s="2852"/>
      <c r="BE11" s="2807"/>
      <c r="BF11" s="3222"/>
      <c r="BG11" s="3222"/>
      <c r="BH11" s="3222"/>
      <c r="BI11" s="3222"/>
      <c r="BJ11" s="3222"/>
      <c r="BK11" s="3222"/>
      <c r="BL11" s="3222"/>
      <c r="BM11" s="3222"/>
      <c r="BN11" s="3222"/>
      <c r="BO11" s="2782"/>
      <c r="BP11" s="3253"/>
      <c r="BQ11" s="3253"/>
      <c r="BR11" s="3774"/>
      <c r="BS11" s="3222"/>
      <c r="BT11" s="3785"/>
      <c r="BU11" s="2782"/>
      <c r="BV11" s="2807"/>
      <c r="BW11" s="2852"/>
      <c r="BX11" s="2807"/>
      <c r="BY11" s="3831"/>
      <c r="BZ11" s="3831"/>
      <c r="CA11" s="3831"/>
      <c r="CB11" s="3831"/>
      <c r="CC11" s="3831"/>
      <c r="CD11" s="3831"/>
    </row>
    <row r="12" spans="1:82" ht="12.75" customHeight="1" x14ac:dyDescent="0.25">
      <c r="A12" s="2782"/>
      <c r="B12" s="3222"/>
      <c r="C12" s="3222"/>
      <c r="D12" s="3222"/>
      <c r="E12" s="3222"/>
      <c r="F12" s="3222"/>
      <c r="G12" s="3222"/>
      <c r="H12" s="3222"/>
      <c r="I12" s="3222"/>
      <c r="J12" s="3222"/>
      <c r="K12" s="3222"/>
      <c r="L12" s="3222"/>
      <c r="M12" s="3222"/>
      <c r="N12" s="3222"/>
      <c r="O12" s="3222"/>
      <c r="P12" s="3222"/>
      <c r="Q12" s="3222"/>
      <c r="R12" s="3222"/>
      <c r="S12" s="3785"/>
      <c r="T12" s="3222"/>
      <c r="U12" s="3774"/>
      <c r="V12" s="3222"/>
      <c r="W12" s="3222"/>
      <c r="X12" s="3785"/>
      <c r="Y12" s="3774"/>
      <c r="Z12" s="3222"/>
      <c r="AA12" s="3222"/>
      <c r="AB12" s="3222"/>
      <c r="AC12" s="3222"/>
      <c r="AD12" s="3222"/>
      <c r="AE12" s="3222"/>
      <c r="AF12" s="3222"/>
      <c r="AG12" s="3222"/>
      <c r="AH12" s="3222"/>
      <c r="AI12" s="3222"/>
      <c r="AJ12" s="3785"/>
      <c r="AK12" s="3785"/>
      <c r="AL12" s="3774"/>
      <c r="AM12" s="3222"/>
      <c r="AN12" s="3222"/>
      <c r="AO12" s="3785"/>
      <c r="AP12" s="3774"/>
      <c r="AQ12" s="3222"/>
      <c r="AR12" s="3222"/>
      <c r="AS12" s="3785"/>
      <c r="AT12" s="3785"/>
      <c r="AU12" s="2847"/>
      <c r="AV12" s="3820"/>
      <c r="AW12" s="2807"/>
      <c r="AX12" s="3222"/>
      <c r="AY12" s="3222"/>
      <c r="AZ12" s="3222"/>
      <c r="BA12" s="3222"/>
      <c r="BB12" s="3222"/>
      <c r="BC12" s="3222"/>
      <c r="BD12" s="2852"/>
      <c r="BE12" s="2807"/>
      <c r="BF12" s="3222"/>
      <c r="BG12" s="3222"/>
      <c r="BH12" s="3222"/>
      <c r="BI12" s="3222"/>
      <c r="BJ12" s="3222"/>
      <c r="BK12" s="3222"/>
      <c r="BL12" s="3222"/>
      <c r="BM12" s="3222"/>
      <c r="BN12" s="3222"/>
      <c r="BO12" s="2782"/>
      <c r="BP12" s="3253"/>
      <c r="BQ12" s="3253"/>
      <c r="BR12" s="3774"/>
      <c r="BS12" s="3222"/>
      <c r="BT12" s="3785"/>
      <c r="BU12" s="2782"/>
      <c r="BV12" s="2807"/>
      <c r="BW12" s="2852"/>
      <c r="BX12" s="2807"/>
      <c r="BY12" s="3831"/>
      <c r="BZ12" s="3831"/>
      <c r="CA12" s="3831"/>
      <c r="CB12" s="3831"/>
      <c r="CC12" s="3831"/>
      <c r="CD12" s="3831"/>
    </row>
    <row r="13" spans="1:82" ht="12.75" customHeight="1" x14ac:dyDescent="0.25">
      <c r="A13" s="2782"/>
      <c r="B13" s="3222"/>
      <c r="C13" s="3222"/>
      <c r="D13" s="3222"/>
      <c r="E13" s="3222"/>
      <c r="F13" s="3222"/>
      <c r="G13" s="3222"/>
      <c r="H13" s="3222"/>
      <c r="I13" s="3222"/>
      <c r="J13" s="3222"/>
      <c r="K13" s="3222"/>
      <c r="L13" s="3222"/>
      <c r="M13" s="3222"/>
      <c r="N13" s="3222"/>
      <c r="O13" s="3222"/>
      <c r="P13" s="3222"/>
      <c r="Q13" s="3222"/>
      <c r="R13" s="3222"/>
      <c r="S13" s="3785"/>
      <c r="T13" s="3222"/>
      <c r="U13" s="3774"/>
      <c r="V13" s="3222"/>
      <c r="W13" s="3222"/>
      <c r="X13" s="3785"/>
      <c r="Y13" s="3774"/>
      <c r="Z13" s="3222"/>
      <c r="AA13" s="3222"/>
      <c r="AB13" s="3222"/>
      <c r="AC13" s="3222"/>
      <c r="AD13" s="3222"/>
      <c r="AE13" s="3222"/>
      <c r="AF13" s="3222"/>
      <c r="AG13" s="3222"/>
      <c r="AH13" s="3222"/>
      <c r="AI13" s="3222"/>
      <c r="AJ13" s="3785"/>
      <c r="AK13" s="3785"/>
      <c r="AL13" s="3774"/>
      <c r="AM13" s="3222"/>
      <c r="AN13" s="3222"/>
      <c r="AO13" s="3785"/>
      <c r="AP13" s="3774"/>
      <c r="AQ13" s="3222"/>
      <c r="AR13" s="3222"/>
      <c r="AS13" s="3785"/>
      <c r="AT13" s="3785"/>
      <c r="AU13" s="2847"/>
      <c r="AV13" s="3820"/>
      <c r="AW13" s="2807"/>
      <c r="AX13" s="3222"/>
      <c r="AY13" s="3222"/>
      <c r="AZ13" s="3222"/>
      <c r="BA13" s="3222"/>
      <c r="BB13" s="3222"/>
      <c r="BC13" s="3222"/>
      <c r="BD13" s="2852"/>
      <c r="BE13" s="2807"/>
      <c r="BF13" s="3222"/>
      <c r="BG13" s="3222"/>
      <c r="BH13" s="3222"/>
      <c r="BI13" s="3222"/>
      <c r="BJ13" s="3222"/>
      <c r="BK13" s="3222"/>
      <c r="BL13" s="3222"/>
      <c r="BM13" s="3222"/>
      <c r="BN13" s="3222"/>
      <c r="BO13" s="2782"/>
      <c r="BP13" s="3253"/>
      <c r="BQ13" s="3253"/>
      <c r="BR13" s="3774"/>
      <c r="BS13" s="3222"/>
      <c r="BT13" s="3785"/>
      <c r="BU13" s="2782"/>
      <c r="BV13" s="2807"/>
      <c r="BW13" s="2852"/>
      <c r="BX13" s="2807"/>
      <c r="BY13" s="3831"/>
      <c r="BZ13" s="3831"/>
      <c r="CA13" s="3831"/>
      <c r="CB13" s="3831"/>
      <c r="CC13" s="3831"/>
      <c r="CD13" s="3831"/>
    </row>
    <row r="14" spans="1:82" x14ac:dyDescent="0.25">
      <c r="A14" s="2782"/>
      <c r="B14" s="3222"/>
      <c r="C14" s="3222"/>
      <c r="D14" s="3222"/>
      <c r="E14" s="3222"/>
      <c r="F14" s="3222"/>
      <c r="G14" s="3222"/>
      <c r="H14" s="3222"/>
      <c r="I14" s="3222"/>
      <c r="J14" s="3222"/>
      <c r="K14" s="3222"/>
      <c r="L14" s="3222"/>
      <c r="M14" s="3222"/>
      <c r="N14" s="3222"/>
      <c r="O14" s="3222"/>
      <c r="P14" s="3222"/>
      <c r="Q14" s="3222"/>
      <c r="R14" s="3222"/>
      <c r="S14" s="3785"/>
      <c r="T14" s="3222"/>
      <c r="U14" s="3774"/>
      <c r="V14" s="3222"/>
      <c r="W14" s="3222"/>
      <c r="X14" s="3785"/>
      <c r="Y14" s="3774"/>
      <c r="Z14" s="3222"/>
      <c r="AA14" s="3222"/>
      <c r="AB14" s="3222"/>
      <c r="AC14" s="3222"/>
      <c r="AD14" s="3222"/>
      <c r="AE14" s="3222"/>
      <c r="AF14" s="3222"/>
      <c r="AG14" s="3222"/>
      <c r="AH14" s="3222"/>
      <c r="AI14" s="3222"/>
      <c r="AJ14" s="3785"/>
      <c r="AK14" s="3785"/>
      <c r="AL14" s="3774"/>
      <c r="AM14" s="3222"/>
      <c r="AN14" s="3222"/>
      <c r="AO14" s="3785"/>
      <c r="AP14" s="3774"/>
      <c r="AQ14" s="3222"/>
      <c r="AR14" s="3222"/>
      <c r="AS14" s="3785"/>
      <c r="AT14" s="3785"/>
      <c r="AU14" s="2847"/>
      <c r="AV14" s="3820"/>
      <c r="AW14" s="2807"/>
      <c r="AX14" s="3222"/>
      <c r="AY14" s="3222"/>
      <c r="AZ14" s="3222"/>
      <c r="BA14" s="3222"/>
      <c r="BB14" s="3222"/>
      <c r="BC14" s="3222"/>
      <c r="BD14" s="2852"/>
      <c r="BE14" s="2807"/>
      <c r="BF14" s="3222"/>
      <c r="BG14" s="3222"/>
      <c r="BH14" s="3222"/>
      <c r="BI14" s="3222"/>
      <c r="BJ14" s="3222"/>
      <c r="BK14" s="3222"/>
      <c r="BL14" s="3222"/>
      <c r="BM14" s="3222"/>
      <c r="BN14" s="3222"/>
      <c r="BO14" s="2782"/>
      <c r="BP14" s="3253"/>
      <c r="BQ14" s="3253"/>
      <c r="BR14" s="3774"/>
      <c r="BS14" s="3222"/>
      <c r="BT14" s="3785"/>
      <c r="BU14" s="2782"/>
      <c r="BV14" s="2807"/>
      <c r="BW14" s="2852"/>
      <c r="BX14" s="2807"/>
      <c r="BY14" s="3831"/>
      <c r="BZ14" s="3831"/>
      <c r="CA14" s="3831"/>
      <c r="CB14" s="3831"/>
      <c r="CC14" s="3831"/>
      <c r="CD14" s="3831"/>
    </row>
    <row r="15" spans="1:82" x14ac:dyDescent="0.25">
      <c r="A15" s="2782"/>
      <c r="B15" s="3222"/>
      <c r="C15" s="3222"/>
      <c r="D15" s="3222"/>
      <c r="E15" s="3222"/>
      <c r="F15" s="3222"/>
      <c r="G15" s="3222"/>
      <c r="H15" s="3222"/>
      <c r="I15" s="3222"/>
      <c r="J15" s="3222"/>
      <c r="K15" s="3222"/>
      <c r="L15" s="3222"/>
      <c r="M15" s="3222"/>
      <c r="N15" s="3222"/>
      <c r="O15" s="3222"/>
      <c r="P15" s="3222"/>
      <c r="Q15" s="3222"/>
      <c r="R15" s="3222"/>
      <c r="S15" s="3785"/>
      <c r="T15" s="3222"/>
      <c r="U15" s="3774"/>
      <c r="V15" s="3222"/>
      <c r="W15" s="3222"/>
      <c r="X15" s="3785"/>
      <c r="Y15" s="3774"/>
      <c r="Z15" s="3222"/>
      <c r="AA15" s="3222"/>
      <c r="AB15" s="3222"/>
      <c r="AC15" s="3222"/>
      <c r="AD15" s="3222"/>
      <c r="AE15" s="3222"/>
      <c r="AF15" s="3222"/>
      <c r="AG15" s="3222"/>
      <c r="AH15" s="3222"/>
      <c r="AI15" s="3222"/>
      <c r="AJ15" s="3785"/>
      <c r="AK15" s="3785"/>
      <c r="AL15" s="3774"/>
      <c r="AM15" s="3222"/>
      <c r="AN15" s="3222"/>
      <c r="AO15" s="3785"/>
      <c r="AP15" s="3774"/>
      <c r="AQ15" s="3222"/>
      <c r="AR15" s="3222"/>
      <c r="AS15" s="3785"/>
      <c r="AT15" s="3785"/>
      <c r="AU15" s="2847"/>
      <c r="AV15" s="3820"/>
      <c r="AW15" s="2807"/>
      <c r="AX15" s="3222"/>
      <c r="AY15" s="3222"/>
      <c r="AZ15" s="3222"/>
      <c r="BA15" s="3222"/>
      <c r="BB15" s="3222"/>
      <c r="BC15" s="3222"/>
      <c r="BD15" s="2852"/>
      <c r="BE15" s="3823"/>
      <c r="BF15" s="3824"/>
      <c r="BG15" s="3824"/>
      <c r="BH15" s="3824"/>
      <c r="BI15" s="3824"/>
      <c r="BJ15" s="3824"/>
      <c r="BK15" s="3824"/>
      <c r="BL15" s="3824"/>
      <c r="BM15" s="3824"/>
      <c r="BN15" s="3824"/>
      <c r="BO15" s="2782"/>
      <c r="BP15" s="3253"/>
      <c r="BQ15" s="3253"/>
      <c r="BR15" s="3774"/>
      <c r="BS15" s="3222"/>
      <c r="BT15" s="3785"/>
      <c r="BU15" s="2782"/>
      <c r="BV15" s="2807"/>
      <c r="BW15" s="2852"/>
      <c r="BX15" s="3823"/>
      <c r="BY15" s="3824"/>
      <c r="BZ15" s="3824"/>
      <c r="CA15" s="3824"/>
      <c r="CB15" s="3824"/>
      <c r="CC15" s="3824"/>
      <c r="CD15" s="3824"/>
    </row>
    <row r="16" spans="1:82" x14ac:dyDescent="0.25">
      <c r="A16" s="2782"/>
      <c r="B16" s="2638" t="s">
        <v>74</v>
      </c>
      <c r="C16" s="2637" t="s">
        <v>109</v>
      </c>
      <c r="D16" s="2637" t="s">
        <v>74</v>
      </c>
      <c r="E16" s="2637" t="s">
        <v>109</v>
      </c>
      <c r="F16" s="2637" t="s">
        <v>74</v>
      </c>
      <c r="G16" s="2637" t="s">
        <v>109</v>
      </c>
      <c r="H16" s="2637" t="s">
        <v>74</v>
      </c>
      <c r="I16" s="2637" t="s">
        <v>109</v>
      </c>
      <c r="J16" s="2637" t="s">
        <v>74</v>
      </c>
      <c r="K16" s="2637" t="s">
        <v>109</v>
      </c>
      <c r="L16" s="2637" t="s">
        <v>74</v>
      </c>
      <c r="M16" s="2637" t="s">
        <v>109</v>
      </c>
      <c r="N16" s="2637" t="s">
        <v>74</v>
      </c>
      <c r="O16" s="2637" t="s">
        <v>109</v>
      </c>
      <c r="P16" s="2637" t="s">
        <v>74</v>
      </c>
      <c r="Q16" s="2637" t="s">
        <v>109</v>
      </c>
      <c r="R16" s="2637" t="s">
        <v>74</v>
      </c>
      <c r="S16" s="2637" t="s">
        <v>109</v>
      </c>
      <c r="T16" s="3222"/>
      <c r="U16" s="2656" t="s">
        <v>74</v>
      </c>
      <c r="V16" s="2656" t="s">
        <v>109</v>
      </c>
      <c r="W16" s="2656" t="s">
        <v>131</v>
      </c>
      <c r="X16" s="2656" t="s">
        <v>238</v>
      </c>
      <c r="Y16" s="2638" t="s">
        <v>74</v>
      </c>
      <c r="Z16" s="2637" t="s">
        <v>109</v>
      </c>
      <c r="AA16" s="2637" t="s">
        <v>74</v>
      </c>
      <c r="AB16" s="2637" t="s">
        <v>109</v>
      </c>
      <c r="AC16" s="2637" t="s">
        <v>74</v>
      </c>
      <c r="AD16" s="2637" t="s">
        <v>109</v>
      </c>
      <c r="AE16" s="2637" t="s">
        <v>74</v>
      </c>
      <c r="AF16" s="2637" t="s">
        <v>109</v>
      </c>
      <c r="AG16" s="2637" t="s">
        <v>74</v>
      </c>
      <c r="AH16" s="2637" t="s">
        <v>109</v>
      </c>
      <c r="AI16" s="2637" t="s">
        <v>74</v>
      </c>
      <c r="AJ16" s="2637" t="s">
        <v>109</v>
      </c>
      <c r="AK16" s="3785"/>
      <c r="AL16" s="3774"/>
      <c r="AM16" s="2658" t="s">
        <v>74</v>
      </c>
      <c r="AN16" s="2644" t="s">
        <v>109</v>
      </c>
      <c r="AO16" s="2644" t="s">
        <v>131</v>
      </c>
      <c r="AP16" s="2644" t="s">
        <v>74</v>
      </c>
      <c r="AQ16" s="2644" t="s">
        <v>109</v>
      </c>
      <c r="AR16" s="2644" t="s">
        <v>131</v>
      </c>
      <c r="AS16" s="2644" t="s">
        <v>238</v>
      </c>
      <c r="AT16" s="3785"/>
      <c r="AU16" s="2847"/>
      <c r="AV16" s="3820"/>
      <c r="AW16" s="3844" t="s">
        <v>2653</v>
      </c>
      <c r="AX16" s="3845"/>
      <c r="AY16" s="3845"/>
      <c r="AZ16" s="3845"/>
      <c r="BA16" s="3848" t="s">
        <v>2652</v>
      </c>
      <c r="BB16" s="3848"/>
      <c r="BC16" s="3848"/>
      <c r="BD16" s="3848"/>
      <c r="BE16" s="2644" t="s">
        <v>74</v>
      </c>
      <c r="BF16" s="2644" t="s">
        <v>109</v>
      </c>
      <c r="BG16" s="2644" t="s">
        <v>131</v>
      </c>
      <c r="BH16" s="2644" t="s">
        <v>238</v>
      </c>
      <c r="BI16" s="2644" t="s">
        <v>239</v>
      </c>
      <c r="BJ16" s="2644" t="s">
        <v>426</v>
      </c>
      <c r="BK16" s="2644" t="s">
        <v>427</v>
      </c>
      <c r="BL16" s="2644" t="s">
        <v>425</v>
      </c>
      <c r="BM16" s="2652" t="s">
        <v>432</v>
      </c>
      <c r="BN16" s="2652" t="s">
        <v>433</v>
      </c>
      <c r="BO16" s="2782"/>
      <c r="BP16" s="3253"/>
      <c r="BQ16" s="3253"/>
      <c r="BR16" s="2644" t="s">
        <v>74</v>
      </c>
      <c r="BS16" s="2644" t="s">
        <v>109</v>
      </c>
      <c r="BT16" s="2644" t="s">
        <v>131</v>
      </c>
      <c r="BU16" s="2782"/>
      <c r="BV16" s="2644" t="s">
        <v>74</v>
      </c>
      <c r="BW16" s="2644" t="s">
        <v>109</v>
      </c>
      <c r="BX16" s="2644" t="s">
        <v>74</v>
      </c>
      <c r="BY16" s="2644" t="s">
        <v>109</v>
      </c>
      <c r="BZ16" s="2644" t="s">
        <v>131</v>
      </c>
      <c r="CA16" s="2644" t="s">
        <v>238</v>
      </c>
      <c r="CB16" s="2644" t="s">
        <v>239</v>
      </c>
      <c r="CC16" s="2644" t="s">
        <v>426</v>
      </c>
      <c r="CD16" s="2644" t="s">
        <v>427</v>
      </c>
    </row>
    <row r="17" spans="1:82" ht="13.5" customHeight="1" x14ac:dyDescent="0.25">
      <c r="A17" s="1707"/>
      <c r="B17" s="3813" t="s">
        <v>2676</v>
      </c>
      <c r="C17" s="3810"/>
      <c r="D17" s="3791" t="s">
        <v>2675</v>
      </c>
      <c r="E17" s="3792"/>
      <c r="F17" s="3809" t="s">
        <v>2674</v>
      </c>
      <c r="G17" s="3810"/>
      <c r="H17" s="3791" t="s">
        <v>2673</v>
      </c>
      <c r="I17" s="3792"/>
      <c r="J17" s="3791" t="s">
        <v>2660</v>
      </c>
      <c r="K17" s="3792"/>
      <c r="L17" s="3809" t="s">
        <v>2672</v>
      </c>
      <c r="M17" s="3810"/>
      <c r="N17" s="3809" t="s">
        <v>2671</v>
      </c>
      <c r="O17" s="3810"/>
      <c r="P17" s="3809" t="s">
        <v>2670</v>
      </c>
      <c r="Q17" s="3810"/>
      <c r="R17" s="3791" t="s">
        <v>2669</v>
      </c>
      <c r="S17" s="3792"/>
      <c r="T17" s="3222"/>
      <c r="U17" s="3839" t="s">
        <v>2689</v>
      </c>
      <c r="V17" s="3839" t="s">
        <v>2688</v>
      </c>
      <c r="W17" s="3839" t="s">
        <v>2668</v>
      </c>
      <c r="X17" s="3839" t="s">
        <v>2667</v>
      </c>
      <c r="Y17" s="3797" t="s">
        <v>2666</v>
      </c>
      <c r="Z17" s="3792"/>
      <c r="AA17" s="3791" t="s">
        <v>2665</v>
      </c>
      <c r="AB17" s="3792"/>
      <c r="AC17" s="3791" t="s">
        <v>2664</v>
      </c>
      <c r="AD17" s="3792"/>
      <c r="AE17" s="3791" t="s">
        <v>2663</v>
      </c>
      <c r="AF17" s="3792"/>
      <c r="AG17" s="3791" t="s">
        <v>2662</v>
      </c>
      <c r="AH17" s="3792"/>
      <c r="AI17" s="3791" t="s">
        <v>2661</v>
      </c>
      <c r="AJ17" s="3792"/>
      <c r="AK17" s="3785"/>
      <c r="AL17" s="3774"/>
      <c r="AM17" s="3787" t="s">
        <v>2659</v>
      </c>
      <c r="AN17" s="3787" t="s">
        <v>2658</v>
      </c>
      <c r="AO17" s="3787" t="s">
        <v>2657</v>
      </c>
      <c r="AP17" s="3801" t="s">
        <v>2656</v>
      </c>
      <c r="AQ17" s="3801" t="s">
        <v>2655</v>
      </c>
      <c r="AR17" s="3801" t="s">
        <v>2691</v>
      </c>
      <c r="AS17" s="3801" t="s">
        <v>2654</v>
      </c>
      <c r="AT17" s="3785"/>
      <c r="AU17" s="2847"/>
      <c r="AV17" s="3820"/>
      <c r="AW17" s="3846"/>
      <c r="AX17" s="3847"/>
      <c r="AY17" s="3847"/>
      <c r="AZ17" s="3847"/>
      <c r="BA17" s="3849"/>
      <c r="BB17" s="3849"/>
      <c r="BC17" s="3849"/>
      <c r="BD17" s="3849"/>
      <c r="BE17" s="3801" t="s">
        <v>2702</v>
      </c>
      <c r="BF17" s="3801" t="s">
        <v>2703</v>
      </c>
      <c r="BG17" s="3801" t="s">
        <v>2704</v>
      </c>
      <c r="BH17" s="3801" t="s">
        <v>2705</v>
      </c>
      <c r="BI17" s="3801" t="s">
        <v>2706</v>
      </c>
      <c r="BJ17" s="3801" t="s">
        <v>2707</v>
      </c>
      <c r="BK17" s="3801" t="s">
        <v>2708</v>
      </c>
      <c r="BL17" s="3801" t="s">
        <v>2709</v>
      </c>
      <c r="BM17" s="3793" t="s">
        <v>2710</v>
      </c>
      <c r="BN17" s="3793" t="s">
        <v>2711</v>
      </c>
      <c r="BO17" s="2653"/>
      <c r="BP17" s="3253"/>
      <c r="BQ17" s="3253"/>
      <c r="BR17" s="3787" t="s">
        <v>2697</v>
      </c>
      <c r="BS17" s="3787" t="s">
        <v>2698</v>
      </c>
      <c r="BT17" s="3787" t="s">
        <v>2699</v>
      </c>
      <c r="BU17" s="2653"/>
      <c r="BV17" s="3827" t="s">
        <v>2712</v>
      </c>
      <c r="BW17" s="3829" t="s">
        <v>2713</v>
      </c>
      <c r="BX17" s="3801" t="s">
        <v>2714</v>
      </c>
      <c r="BY17" s="3801" t="s">
        <v>2715</v>
      </c>
      <c r="BZ17" s="3801" t="s">
        <v>2716</v>
      </c>
      <c r="CA17" s="3801" t="s">
        <v>2717</v>
      </c>
      <c r="CB17" s="3801" t="s">
        <v>2718</v>
      </c>
      <c r="CC17" s="3801" t="s">
        <v>2719</v>
      </c>
      <c r="CD17" s="3801" t="s">
        <v>2720</v>
      </c>
    </row>
    <row r="18" spans="1:82" ht="13.5" customHeight="1" x14ac:dyDescent="0.25">
      <c r="A18" s="2639"/>
      <c r="B18" s="3814"/>
      <c r="C18" s="3812"/>
      <c r="D18" s="3793"/>
      <c r="E18" s="3794"/>
      <c r="F18" s="3811"/>
      <c r="G18" s="3812"/>
      <c r="H18" s="3793"/>
      <c r="I18" s="3794"/>
      <c r="J18" s="3793"/>
      <c r="K18" s="3794"/>
      <c r="L18" s="3811"/>
      <c r="M18" s="3812"/>
      <c r="N18" s="3811"/>
      <c r="O18" s="3812"/>
      <c r="P18" s="3811"/>
      <c r="Q18" s="3812"/>
      <c r="R18" s="3793"/>
      <c r="S18" s="3794"/>
      <c r="T18" s="3222"/>
      <c r="U18" s="3840"/>
      <c r="V18" s="3840"/>
      <c r="W18" s="3840"/>
      <c r="X18" s="3840"/>
      <c r="Y18" s="3798"/>
      <c r="Z18" s="3794"/>
      <c r="AA18" s="3793"/>
      <c r="AB18" s="3794"/>
      <c r="AC18" s="3793"/>
      <c r="AD18" s="3794"/>
      <c r="AE18" s="3793"/>
      <c r="AF18" s="3794"/>
      <c r="AG18" s="3793"/>
      <c r="AH18" s="3794"/>
      <c r="AI18" s="3793"/>
      <c r="AJ18" s="3794"/>
      <c r="AK18" s="3785"/>
      <c r="AL18" s="3774"/>
      <c r="AM18" s="3787"/>
      <c r="AN18" s="3787"/>
      <c r="AO18" s="3787"/>
      <c r="AP18" s="3801"/>
      <c r="AQ18" s="3801"/>
      <c r="AR18" s="3801"/>
      <c r="AS18" s="3801"/>
      <c r="AT18" s="3785"/>
      <c r="AU18" s="2847"/>
      <c r="AV18" s="3820"/>
      <c r="AW18" s="2651" t="s">
        <v>74</v>
      </c>
      <c r="AX18" s="2651" t="s">
        <v>109</v>
      </c>
      <c r="AY18" s="2651" t="s">
        <v>131</v>
      </c>
      <c r="AZ18" s="2651" t="s">
        <v>238</v>
      </c>
      <c r="BA18" s="2651" t="s">
        <v>74</v>
      </c>
      <c r="BB18" s="2651" t="s">
        <v>109</v>
      </c>
      <c r="BC18" s="2651" t="s">
        <v>131</v>
      </c>
      <c r="BD18" s="2651" t="s">
        <v>238</v>
      </c>
      <c r="BE18" s="3801"/>
      <c r="BF18" s="3801"/>
      <c r="BG18" s="3801"/>
      <c r="BH18" s="3801"/>
      <c r="BI18" s="3801"/>
      <c r="BJ18" s="3801"/>
      <c r="BK18" s="3801"/>
      <c r="BL18" s="3801"/>
      <c r="BM18" s="3793"/>
      <c r="BN18" s="3793"/>
      <c r="BO18" s="2639"/>
      <c r="BP18" s="3253"/>
      <c r="BQ18" s="3253"/>
      <c r="BR18" s="3787"/>
      <c r="BS18" s="3787"/>
      <c r="BT18" s="3787"/>
      <c r="BU18" s="2639"/>
      <c r="BV18" s="3827"/>
      <c r="BW18" s="3829"/>
      <c r="BX18" s="3801"/>
      <c r="BY18" s="3801"/>
      <c r="BZ18" s="3801"/>
      <c r="CA18" s="3801"/>
      <c r="CB18" s="3801"/>
      <c r="CC18" s="3801"/>
      <c r="CD18" s="3801"/>
    </row>
    <row r="19" spans="1:82" ht="12.75" customHeight="1" x14ac:dyDescent="0.3">
      <c r="A19" s="2639"/>
      <c r="B19" s="3814"/>
      <c r="C19" s="3812"/>
      <c r="D19" s="3793"/>
      <c r="E19" s="3794"/>
      <c r="F19" s="3811"/>
      <c r="G19" s="3812"/>
      <c r="H19" s="3793"/>
      <c r="I19" s="3794"/>
      <c r="J19" s="3793"/>
      <c r="K19" s="3794"/>
      <c r="L19" s="3811"/>
      <c r="M19" s="3812"/>
      <c r="N19" s="3811"/>
      <c r="O19" s="3812"/>
      <c r="P19" s="3811"/>
      <c r="Q19" s="3812"/>
      <c r="R19" s="3793"/>
      <c r="S19" s="3794"/>
      <c r="T19" s="3222"/>
      <c r="U19" s="3840"/>
      <c r="V19" s="3840"/>
      <c r="W19" s="3840"/>
      <c r="X19" s="3840"/>
      <c r="Y19" s="3798"/>
      <c r="Z19" s="3794"/>
      <c r="AA19" s="3793"/>
      <c r="AB19" s="3794"/>
      <c r="AC19" s="3793"/>
      <c r="AD19" s="3794"/>
      <c r="AE19" s="3793"/>
      <c r="AF19" s="3794"/>
      <c r="AG19" s="3793"/>
      <c r="AH19" s="3794"/>
      <c r="AI19" s="3793"/>
      <c r="AJ19" s="3794"/>
      <c r="AK19" s="3785"/>
      <c r="AL19" s="3774"/>
      <c r="AM19" s="3787"/>
      <c r="AN19" s="3787"/>
      <c r="AO19" s="3787"/>
      <c r="AP19" s="3801"/>
      <c r="AQ19" s="3801"/>
      <c r="AR19" s="3801"/>
      <c r="AS19" s="3801"/>
      <c r="AT19" s="3785"/>
      <c r="AU19" s="2847"/>
      <c r="AV19" s="3820"/>
      <c r="AW19" s="2648"/>
      <c r="AX19" s="2648"/>
      <c r="AY19" s="2619"/>
      <c r="AZ19" s="2648"/>
      <c r="BA19" s="2631"/>
      <c r="BB19" s="2618"/>
      <c r="BC19" s="2623"/>
      <c r="BD19" s="2623"/>
      <c r="BE19" s="3801"/>
      <c r="BF19" s="3801"/>
      <c r="BG19" s="3801"/>
      <c r="BH19" s="3801"/>
      <c r="BI19" s="3801"/>
      <c r="BJ19" s="3801"/>
      <c r="BK19" s="3801"/>
      <c r="BL19" s="3801"/>
      <c r="BM19" s="3793"/>
      <c r="BN19" s="3793"/>
      <c r="BO19" s="2639"/>
      <c r="BP19" s="3253"/>
      <c r="BQ19" s="3253"/>
      <c r="BR19" s="3787"/>
      <c r="BS19" s="3787"/>
      <c r="BT19" s="3787"/>
      <c r="BU19" s="2639"/>
      <c r="BV19" s="3827"/>
      <c r="BW19" s="3829"/>
      <c r="BX19" s="3801"/>
      <c r="BY19" s="3801"/>
      <c r="BZ19" s="3801"/>
      <c r="CA19" s="3801"/>
      <c r="CB19" s="3801"/>
      <c r="CC19" s="3801"/>
      <c r="CD19" s="3801"/>
    </row>
    <row r="20" spans="1:82" x14ac:dyDescent="0.25">
      <c r="A20" s="682"/>
      <c r="B20" s="3814"/>
      <c r="C20" s="3812"/>
      <c r="D20" s="3793"/>
      <c r="E20" s="3794"/>
      <c r="F20" s="3811"/>
      <c r="G20" s="3812"/>
      <c r="H20" s="3793"/>
      <c r="I20" s="3794"/>
      <c r="J20" s="3793"/>
      <c r="K20" s="3794"/>
      <c r="L20" s="3811"/>
      <c r="M20" s="3812"/>
      <c r="N20" s="3811"/>
      <c r="O20" s="3812"/>
      <c r="P20" s="3811"/>
      <c r="Q20" s="3812"/>
      <c r="R20" s="3793"/>
      <c r="S20" s="3794"/>
      <c r="T20" s="3222"/>
      <c r="U20" s="3840"/>
      <c r="V20" s="3840"/>
      <c r="W20" s="3840"/>
      <c r="X20" s="3840"/>
      <c r="Y20" s="3798"/>
      <c r="Z20" s="3794"/>
      <c r="AA20" s="3793"/>
      <c r="AB20" s="3794"/>
      <c r="AC20" s="3793"/>
      <c r="AD20" s="3794"/>
      <c r="AE20" s="3793"/>
      <c r="AF20" s="3794"/>
      <c r="AG20" s="3793"/>
      <c r="AH20" s="3794"/>
      <c r="AI20" s="3793"/>
      <c r="AJ20" s="3794"/>
      <c r="AK20" s="3785"/>
      <c r="AL20" s="3774"/>
      <c r="AM20" s="3787"/>
      <c r="AN20" s="3787"/>
      <c r="AO20" s="3787"/>
      <c r="AP20" s="3801"/>
      <c r="AQ20" s="3801"/>
      <c r="AR20" s="3801"/>
      <c r="AS20" s="3801"/>
      <c r="AT20" s="3785"/>
      <c r="AU20" s="2847"/>
      <c r="AV20" s="3820"/>
      <c r="AW20" s="2648"/>
      <c r="AX20" s="2648"/>
      <c r="AY20" s="2619"/>
      <c r="AZ20" s="2648"/>
      <c r="BA20" s="2631"/>
      <c r="BB20" s="2618"/>
      <c r="BC20" s="2337"/>
      <c r="BD20" s="2337"/>
      <c r="BE20" s="3801"/>
      <c r="BF20" s="3801"/>
      <c r="BG20" s="3801"/>
      <c r="BH20" s="3801"/>
      <c r="BI20" s="3801"/>
      <c r="BJ20" s="3801"/>
      <c r="BK20" s="3801"/>
      <c r="BL20" s="3801"/>
      <c r="BM20" s="3793"/>
      <c r="BN20" s="3793"/>
      <c r="BO20" s="2654"/>
      <c r="BP20" s="3253"/>
      <c r="BQ20" s="3253"/>
      <c r="BR20" s="3787"/>
      <c r="BS20" s="3787"/>
      <c r="BT20" s="3787"/>
      <c r="BU20" s="2653"/>
      <c r="BV20" s="3827"/>
      <c r="BW20" s="3829"/>
      <c r="BX20" s="3801"/>
      <c r="BY20" s="3801"/>
      <c r="BZ20" s="3801"/>
      <c r="CA20" s="3801"/>
      <c r="CB20" s="3801"/>
      <c r="CC20" s="3801"/>
      <c r="CD20" s="3801"/>
    </row>
    <row r="21" spans="1:82" x14ac:dyDescent="0.25">
      <c r="A21" s="2640"/>
      <c r="B21" s="3814"/>
      <c r="C21" s="3812"/>
      <c r="D21" s="3793"/>
      <c r="E21" s="3794"/>
      <c r="F21" s="3811"/>
      <c r="G21" s="3812"/>
      <c r="H21" s="3793"/>
      <c r="I21" s="3794"/>
      <c r="J21" s="3793"/>
      <c r="K21" s="3794"/>
      <c r="L21" s="3811"/>
      <c r="M21" s="3812"/>
      <c r="N21" s="3811"/>
      <c r="O21" s="3812"/>
      <c r="P21" s="3811"/>
      <c r="Q21" s="3812"/>
      <c r="R21" s="3793"/>
      <c r="S21" s="3794"/>
      <c r="T21" s="2622"/>
      <c r="U21" s="3840"/>
      <c r="V21" s="3840"/>
      <c r="W21" s="3840"/>
      <c r="X21" s="3840"/>
      <c r="Y21" s="3798"/>
      <c r="Z21" s="3794"/>
      <c r="AA21" s="3793"/>
      <c r="AB21" s="3794"/>
      <c r="AC21" s="3793"/>
      <c r="AD21" s="3794"/>
      <c r="AE21" s="3793"/>
      <c r="AF21" s="3794"/>
      <c r="AG21" s="3793"/>
      <c r="AH21" s="3794"/>
      <c r="AI21" s="3793"/>
      <c r="AJ21" s="3794"/>
      <c r="AK21" s="3785"/>
      <c r="AL21" s="3774"/>
      <c r="AM21" s="3787"/>
      <c r="AN21" s="3787"/>
      <c r="AO21" s="3787"/>
      <c r="AP21" s="3801"/>
      <c r="AQ21" s="3801"/>
      <c r="AR21" s="3801"/>
      <c r="AS21" s="3801"/>
      <c r="AT21" s="3785"/>
      <c r="AU21" s="2847"/>
      <c r="AV21" s="3820"/>
      <c r="AW21" s="2648"/>
      <c r="AX21" s="2648"/>
      <c r="AY21" s="2619"/>
      <c r="AZ21" s="2648"/>
      <c r="BA21" s="2631"/>
      <c r="BB21" s="2618"/>
      <c r="BC21" s="2337"/>
      <c r="BD21" s="2337"/>
      <c r="BE21" s="3801"/>
      <c r="BF21" s="3801"/>
      <c r="BG21" s="3801"/>
      <c r="BH21" s="3801"/>
      <c r="BI21" s="3801"/>
      <c r="BJ21" s="3801"/>
      <c r="BK21" s="3801"/>
      <c r="BL21" s="3801"/>
      <c r="BM21" s="3793"/>
      <c r="BN21" s="3793"/>
      <c r="BO21" s="2640"/>
      <c r="BP21" s="3253"/>
      <c r="BQ21" s="3253"/>
      <c r="BR21" s="3787"/>
      <c r="BS21" s="3787"/>
      <c r="BT21" s="3787"/>
      <c r="BU21" s="2640"/>
      <c r="BV21" s="3827"/>
      <c r="BW21" s="3829"/>
      <c r="BX21" s="3801"/>
      <c r="BY21" s="3801"/>
      <c r="BZ21" s="3801"/>
      <c r="CA21" s="3801"/>
      <c r="CB21" s="3801"/>
      <c r="CC21" s="3801"/>
      <c r="CD21" s="3801"/>
    </row>
    <row r="22" spans="1:82" x14ac:dyDescent="0.25">
      <c r="A22" s="2639"/>
      <c r="B22" s="3814"/>
      <c r="C22" s="3812"/>
      <c r="D22" s="3793"/>
      <c r="E22" s="3794"/>
      <c r="F22" s="3811"/>
      <c r="G22" s="3812"/>
      <c r="H22" s="3793"/>
      <c r="I22" s="3794"/>
      <c r="J22" s="3793"/>
      <c r="K22" s="3794"/>
      <c r="L22" s="3811"/>
      <c r="M22" s="3812"/>
      <c r="N22" s="3811"/>
      <c r="O22" s="3812"/>
      <c r="P22" s="3811"/>
      <c r="Q22" s="3812"/>
      <c r="R22" s="3793"/>
      <c r="S22" s="3794"/>
      <c r="T22" s="2620"/>
      <c r="U22" s="3840"/>
      <c r="V22" s="3840"/>
      <c r="W22" s="3840"/>
      <c r="X22" s="3840"/>
      <c r="Y22" s="3798"/>
      <c r="Z22" s="3794"/>
      <c r="AA22" s="3793"/>
      <c r="AB22" s="3794"/>
      <c r="AC22" s="3793"/>
      <c r="AD22" s="3794"/>
      <c r="AE22" s="3793"/>
      <c r="AF22" s="3794"/>
      <c r="AG22" s="3793"/>
      <c r="AH22" s="3794"/>
      <c r="AI22" s="3793"/>
      <c r="AJ22" s="3794"/>
      <c r="AK22" s="2618"/>
      <c r="AL22" s="2618"/>
      <c r="AM22" s="3787"/>
      <c r="AN22" s="3787"/>
      <c r="AO22" s="3787"/>
      <c r="AP22" s="3801"/>
      <c r="AQ22" s="3801"/>
      <c r="AR22" s="3801"/>
      <c r="AS22" s="3801"/>
      <c r="AT22" s="2332"/>
      <c r="AU22" s="2620"/>
      <c r="AV22" s="2620"/>
      <c r="AW22" s="2648"/>
      <c r="AX22" s="2648"/>
      <c r="AY22" s="2619"/>
      <c r="AZ22" s="2648"/>
      <c r="BA22" s="2632"/>
      <c r="BB22" s="2617"/>
      <c r="BC22" s="2337"/>
      <c r="BD22" s="2337"/>
      <c r="BE22" s="3801"/>
      <c r="BF22" s="3801"/>
      <c r="BG22" s="3801"/>
      <c r="BH22" s="3801"/>
      <c r="BI22" s="3801"/>
      <c r="BJ22" s="3801"/>
      <c r="BK22" s="3801"/>
      <c r="BL22" s="3801"/>
      <c r="BM22" s="3793"/>
      <c r="BN22" s="3793"/>
      <c r="BO22" s="2639"/>
      <c r="BP22" s="3253"/>
      <c r="BQ22" s="3253"/>
      <c r="BR22" s="3787"/>
      <c r="BS22" s="3787"/>
      <c r="BT22" s="3787"/>
      <c r="BU22" s="2639"/>
      <c r="BV22" s="3827"/>
      <c r="BW22" s="3829"/>
      <c r="BX22" s="3801"/>
      <c r="BY22" s="3801"/>
      <c r="BZ22" s="3801"/>
      <c r="CA22" s="3801"/>
      <c r="CB22" s="3801"/>
      <c r="CC22" s="3801"/>
      <c r="CD22" s="3801"/>
    </row>
    <row r="23" spans="1:82" ht="143" customHeight="1" x14ac:dyDescent="0.25">
      <c r="A23" s="2663" t="s">
        <v>2731</v>
      </c>
      <c r="B23" s="3814"/>
      <c r="C23" s="3812"/>
      <c r="D23" s="3793"/>
      <c r="E23" s="3794"/>
      <c r="F23" s="3811"/>
      <c r="G23" s="3812"/>
      <c r="H23" s="3793"/>
      <c r="I23" s="3794"/>
      <c r="J23" s="3793"/>
      <c r="K23" s="3794"/>
      <c r="L23" s="3811"/>
      <c r="M23" s="3812"/>
      <c r="N23" s="3811"/>
      <c r="O23" s="3812"/>
      <c r="P23" s="3811"/>
      <c r="Q23" s="3812"/>
      <c r="R23" s="3793"/>
      <c r="S23" s="3794"/>
      <c r="T23" s="2633" t="s">
        <v>2721</v>
      </c>
      <c r="U23" s="3841"/>
      <c r="V23" s="3841"/>
      <c r="W23" s="3841"/>
      <c r="X23" s="3841"/>
      <c r="Y23" s="3799"/>
      <c r="Z23" s="3796"/>
      <c r="AA23" s="3795"/>
      <c r="AB23" s="3796"/>
      <c r="AC23" s="3795"/>
      <c r="AD23" s="3796"/>
      <c r="AE23" s="3795"/>
      <c r="AF23" s="3796"/>
      <c r="AG23" s="3795"/>
      <c r="AH23" s="3796"/>
      <c r="AI23" s="3795"/>
      <c r="AJ23" s="3796"/>
      <c r="AK23" s="2633" t="s">
        <v>2724</v>
      </c>
      <c r="AL23" s="2633" t="s">
        <v>2724</v>
      </c>
      <c r="AM23" s="3788"/>
      <c r="AN23" s="3788"/>
      <c r="AO23" s="3788"/>
      <c r="AP23" s="3802"/>
      <c r="AQ23" s="3802"/>
      <c r="AR23" s="3802"/>
      <c r="AS23" s="3802"/>
      <c r="AT23" s="2663" t="s">
        <v>2726</v>
      </c>
      <c r="AU23" s="2633" t="s">
        <v>2727</v>
      </c>
      <c r="AV23" s="2633" t="s">
        <v>2728</v>
      </c>
      <c r="AW23" s="2649"/>
      <c r="AX23" s="2649"/>
      <c r="AY23" s="2615"/>
      <c r="AZ23" s="2649"/>
      <c r="BA23" s="2650"/>
      <c r="BB23" s="2614"/>
      <c r="BC23" s="2613"/>
      <c r="BD23" s="2613"/>
      <c r="BE23" s="3802"/>
      <c r="BF23" s="3802"/>
      <c r="BG23" s="3802"/>
      <c r="BH23" s="3802"/>
      <c r="BI23" s="3802"/>
      <c r="BJ23" s="3802"/>
      <c r="BK23" s="3802"/>
      <c r="BL23" s="3802"/>
      <c r="BM23" s="3795"/>
      <c r="BN23" s="3795"/>
      <c r="BO23" s="2633" t="s">
        <v>2724</v>
      </c>
      <c r="BP23" s="2663" t="s">
        <v>2726</v>
      </c>
      <c r="BQ23" s="2633" t="s">
        <v>2724</v>
      </c>
      <c r="BR23" s="3788"/>
      <c r="BS23" s="3788"/>
      <c r="BT23" s="3788"/>
      <c r="BU23" s="2663" t="s">
        <v>2726</v>
      </c>
      <c r="BV23" s="3828"/>
      <c r="BW23" s="3830"/>
      <c r="BX23" s="3802"/>
      <c r="BY23" s="3802"/>
      <c r="BZ23" s="3802"/>
      <c r="CA23" s="3802"/>
      <c r="CB23" s="3802"/>
      <c r="CC23" s="3802"/>
      <c r="CD23" s="3802"/>
    </row>
    <row r="24" spans="1:82" ht="23.5" thickBot="1" x14ac:dyDescent="0.3">
      <c r="A24" s="2610" t="s">
        <v>346</v>
      </c>
      <c r="B24" s="3832" t="s">
        <v>346</v>
      </c>
      <c r="C24" s="3833"/>
      <c r="D24" s="3833"/>
      <c r="E24" s="3833"/>
      <c r="F24" s="3833"/>
      <c r="G24" s="3833"/>
      <c r="H24" s="3833"/>
      <c r="I24" s="3833"/>
      <c r="J24" s="3833"/>
      <c r="K24" s="3833"/>
      <c r="L24" s="3833"/>
      <c r="M24" s="3833"/>
      <c r="N24" s="3833"/>
      <c r="O24" s="3833"/>
      <c r="P24" s="3833"/>
      <c r="Q24" s="3833"/>
      <c r="R24" s="3833"/>
      <c r="S24" s="3834"/>
      <c r="T24" s="2608" t="s">
        <v>346</v>
      </c>
      <c r="U24" s="2596" t="s">
        <v>346</v>
      </c>
      <c r="V24" s="2596" t="s">
        <v>346</v>
      </c>
      <c r="W24" s="2596" t="s">
        <v>346</v>
      </c>
      <c r="X24" s="2643" t="s">
        <v>346</v>
      </c>
      <c r="Y24" s="2609" t="s">
        <v>346</v>
      </c>
      <c r="Z24" s="2609"/>
      <c r="AA24" s="2609" t="s">
        <v>346</v>
      </c>
      <c r="AB24" s="2609"/>
      <c r="AC24" s="2609" t="s">
        <v>346</v>
      </c>
      <c r="AD24" s="2609"/>
      <c r="AE24" s="2609" t="s">
        <v>346</v>
      </c>
      <c r="AF24" s="2609"/>
      <c r="AG24" s="2609" t="s">
        <v>346</v>
      </c>
      <c r="AH24" s="2609"/>
      <c r="AI24" s="2609" t="s">
        <v>346</v>
      </c>
      <c r="AJ24" s="2609"/>
      <c r="AK24" s="2610" t="s">
        <v>346</v>
      </c>
      <c r="AL24" s="2609" t="s">
        <v>346</v>
      </c>
      <c r="AM24" s="3835" t="s">
        <v>346</v>
      </c>
      <c r="AN24" s="3836"/>
      <c r="AO24" s="3838"/>
      <c r="AP24" s="3835" t="s">
        <v>346</v>
      </c>
      <c r="AQ24" s="3836"/>
      <c r="AR24" s="3836"/>
      <c r="AS24" s="3837"/>
      <c r="AT24" s="2607" t="s">
        <v>346</v>
      </c>
      <c r="AU24" s="2608" t="s">
        <v>346</v>
      </c>
      <c r="AV24" s="2607" t="s">
        <v>346</v>
      </c>
      <c r="AW24" s="2576" t="s">
        <v>346</v>
      </c>
      <c r="AX24" s="2576" t="s">
        <v>346</v>
      </c>
      <c r="AY24" s="2576" t="s">
        <v>346</v>
      </c>
      <c r="AZ24" s="2576" t="s">
        <v>346</v>
      </c>
      <c r="BA24" s="2577" t="s">
        <v>346</v>
      </c>
      <c r="BB24" s="2643" t="s">
        <v>346</v>
      </c>
      <c r="BC24" s="2577" t="s">
        <v>346</v>
      </c>
      <c r="BD24" s="2647" t="s">
        <v>346</v>
      </c>
      <c r="BE24" s="3835" t="s">
        <v>346</v>
      </c>
      <c r="BF24" s="3836"/>
      <c r="BG24" s="3836"/>
      <c r="BH24" s="3836"/>
      <c r="BI24" s="3836"/>
      <c r="BJ24" s="3836"/>
      <c r="BK24" s="3836"/>
      <c r="BL24" s="3836"/>
      <c r="BM24" s="3836"/>
      <c r="BN24" s="3838"/>
      <c r="BO24" s="2655" t="s">
        <v>346</v>
      </c>
      <c r="BP24" s="2655" t="s">
        <v>346</v>
      </c>
      <c r="BQ24" s="2655" t="s">
        <v>346</v>
      </c>
      <c r="BR24" s="2576" t="s">
        <v>346</v>
      </c>
      <c r="BS24" s="2577" t="s">
        <v>346</v>
      </c>
      <c r="BT24" s="2645" t="s">
        <v>346</v>
      </c>
      <c r="BU24" s="2655" t="s">
        <v>346</v>
      </c>
      <c r="BV24" s="2596" t="s">
        <v>346</v>
      </c>
      <c r="BW24" s="2595" t="s">
        <v>346</v>
      </c>
      <c r="BX24" s="3835" t="s">
        <v>346</v>
      </c>
      <c r="BY24" s="3836"/>
      <c r="BZ24" s="3836"/>
      <c r="CA24" s="3836"/>
      <c r="CB24" s="3836"/>
      <c r="CC24" s="3836"/>
      <c r="CD24" s="3838"/>
    </row>
    <row r="25" spans="1:82" ht="59" customHeight="1" thickTop="1" x14ac:dyDescent="0.25">
      <c r="A25" s="2606"/>
      <c r="B25" s="2604"/>
      <c r="C25" s="2634"/>
      <c r="D25" s="2604"/>
      <c r="E25" s="2634"/>
      <c r="F25" s="2604"/>
      <c r="G25" s="2634"/>
      <c r="H25" s="2604"/>
      <c r="I25" s="2634"/>
      <c r="J25" s="2604"/>
      <c r="K25" s="2634"/>
      <c r="L25" s="2604"/>
      <c r="M25" s="2634"/>
      <c r="N25" s="2604"/>
      <c r="O25" s="2634"/>
      <c r="P25" s="2604"/>
      <c r="Q25" s="2634"/>
      <c r="R25" s="2604"/>
      <c r="S25" s="2634"/>
      <c r="T25" s="2603"/>
      <c r="U25" s="2657"/>
      <c r="V25" s="2657"/>
      <c r="W25" s="2657"/>
      <c r="X25" s="2657"/>
      <c r="Y25" s="2642"/>
      <c r="Z25" s="2642"/>
      <c r="AA25" s="2605"/>
      <c r="AB25" s="2605"/>
      <c r="AC25" s="2605"/>
      <c r="AD25" s="2605"/>
      <c r="AE25" s="2605"/>
      <c r="AF25" s="2605"/>
      <c r="AG25" s="2605"/>
      <c r="AH25" s="2605"/>
      <c r="AI25" s="2605"/>
      <c r="AJ25" s="2604"/>
      <c r="AK25" s="2606"/>
      <c r="AL25" s="2605"/>
      <c r="AM25" s="2657"/>
      <c r="AN25" s="2657"/>
      <c r="AO25" s="2657"/>
      <c r="AP25" s="2657"/>
      <c r="AQ25" s="2657"/>
      <c r="AR25" s="2657"/>
      <c r="AS25" s="2660"/>
      <c r="AT25" s="2602"/>
      <c r="AU25" s="2603"/>
      <c r="AV25" s="2602"/>
      <c r="AW25" s="2662"/>
      <c r="AX25" s="2646"/>
      <c r="AY25" s="2646"/>
      <c r="AZ25" s="2646"/>
      <c r="BA25" s="2657"/>
      <c r="BB25" s="2657"/>
      <c r="BC25" s="2657"/>
      <c r="BD25" s="2657"/>
      <c r="BE25" s="2657"/>
      <c r="BF25" s="2657"/>
      <c r="BG25" s="2657"/>
      <c r="BH25" s="2660"/>
      <c r="BI25" s="2657"/>
      <c r="BJ25" s="2657"/>
      <c r="BK25" s="2657"/>
      <c r="BL25" s="2657"/>
      <c r="BM25" s="2659"/>
      <c r="BN25" s="2659"/>
      <c r="BO25" s="2605"/>
      <c r="BP25" s="2661"/>
      <c r="BQ25" s="2661"/>
      <c r="BR25" s="2657"/>
      <c r="BS25" s="2657"/>
      <c r="BT25" s="2657"/>
      <c r="BU25" s="2605"/>
      <c r="BV25" s="2657"/>
      <c r="BW25" s="2657"/>
      <c r="BX25" s="2657"/>
      <c r="BY25" s="2657"/>
      <c r="BZ25" s="2657"/>
      <c r="CA25" s="2660"/>
      <c r="CB25" s="2657"/>
      <c r="CC25" s="2657"/>
      <c r="CD25" s="2657"/>
    </row>
    <row r="26" spans="1:82" ht="13" x14ac:dyDescent="0.3">
      <c r="A26" s="1041">
        <v>1</v>
      </c>
      <c r="B26" s="1041">
        <v>2</v>
      </c>
      <c r="C26" s="1041"/>
      <c r="D26" s="1041"/>
      <c r="E26" s="1041"/>
      <c r="F26" s="1041"/>
      <c r="G26" s="1041"/>
      <c r="H26" s="1041"/>
      <c r="I26" s="1041"/>
      <c r="J26" s="1041"/>
      <c r="K26" s="1041"/>
      <c r="L26" s="1041"/>
      <c r="M26" s="1041"/>
      <c r="T26" s="2600">
        <v>3</v>
      </c>
      <c r="U26" s="2600">
        <v>4</v>
      </c>
      <c r="Y26" s="2600">
        <v>5</v>
      </c>
      <c r="AA26" s="1041"/>
      <c r="AB26" s="1041"/>
      <c r="AC26" s="1041"/>
      <c r="AD26" s="1041"/>
      <c r="AE26" s="1041"/>
      <c r="AF26" s="1041"/>
      <c r="AG26" s="1041"/>
      <c r="AH26" s="1041"/>
      <c r="AI26" s="1041"/>
      <c r="AJ26" s="1041"/>
      <c r="AK26" s="1041">
        <v>6</v>
      </c>
      <c r="AL26" s="1041">
        <v>6</v>
      </c>
      <c r="AM26" s="2600">
        <v>7</v>
      </c>
      <c r="AN26" s="1041"/>
      <c r="AO26" s="1041"/>
      <c r="AP26" s="1041">
        <v>8</v>
      </c>
      <c r="AQ26" s="1041"/>
      <c r="AR26" s="1041"/>
      <c r="AS26" s="1041"/>
      <c r="AT26" s="1041">
        <v>9</v>
      </c>
      <c r="AU26" s="1041">
        <v>10</v>
      </c>
      <c r="AV26" s="1041">
        <v>11</v>
      </c>
      <c r="AW26" s="1041">
        <v>12</v>
      </c>
      <c r="AX26" s="1041"/>
      <c r="AY26" s="1041"/>
      <c r="AZ26" s="1041"/>
      <c r="BA26" s="1041"/>
      <c r="BB26" s="1041"/>
      <c r="BC26" s="1041"/>
      <c r="BD26" s="1041"/>
      <c r="BE26" s="1041">
        <v>13</v>
      </c>
      <c r="BI26" s="1041"/>
      <c r="BL26" s="1041"/>
      <c r="BM26" s="1041"/>
      <c r="BO26" s="2600">
        <v>14</v>
      </c>
      <c r="BP26" s="2600">
        <v>14</v>
      </c>
      <c r="BQ26" s="2600">
        <v>14</v>
      </c>
      <c r="BR26" s="2600">
        <v>15</v>
      </c>
      <c r="BU26" s="2600">
        <v>16</v>
      </c>
      <c r="BV26" s="2600">
        <v>17</v>
      </c>
      <c r="BX26" s="1041">
        <v>18</v>
      </c>
      <c r="CB26" s="1041"/>
    </row>
    <row r="27" spans="1:82" ht="13" x14ac:dyDescent="0.3">
      <c r="A27" s="1041"/>
      <c r="B27" s="1041"/>
      <c r="C27" s="1041"/>
      <c r="D27" s="1041"/>
      <c r="E27" s="1041"/>
      <c r="F27" s="1041"/>
      <c r="G27" s="1041"/>
      <c r="H27" s="1041"/>
      <c r="I27" s="1041"/>
      <c r="J27" s="1041"/>
      <c r="K27" s="1041"/>
      <c r="L27" s="1041"/>
      <c r="M27" s="1041"/>
      <c r="AA27" s="1041"/>
      <c r="AB27" s="1041"/>
      <c r="AC27" s="1041"/>
      <c r="AD27" s="1041"/>
      <c r="AE27" s="1041"/>
      <c r="AF27" s="1041"/>
      <c r="AG27" s="1041"/>
      <c r="AH27" s="1041"/>
      <c r="AI27" s="1041"/>
      <c r="AJ27" s="1041"/>
      <c r="AK27" s="1041"/>
      <c r="AL27" s="1041"/>
      <c r="AN27" s="1041"/>
      <c r="AO27" s="1041"/>
      <c r="AP27" s="1041"/>
      <c r="AQ27" s="1041"/>
      <c r="AR27" s="1041"/>
      <c r="AS27" s="1041"/>
      <c r="AT27" s="1041"/>
      <c r="AU27" s="1041"/>
      <c r="AV27" s="1041"/>
      <c r="AW27" s="1041"/>
      <c r="AX27" s="1041"/>
      <c r="AY27" s="1041"/>
      <c r="AZ27" s="1041"/>
      <c r="BA27" s="1041"/>
      <c r="BB27" s="1041"/>
      <c r="BC27" s="1041"/>
      <c r="BD27" s="1041"/>
      <c r="BE27" s="1041"/>
      <c r="BI27" s="1041"/>
      <c r="BL27" s="1041"/>
      <c r="BM27" s="1041"/>
      <c r="BX27" s="1041"/>
      <c r="CB27" s="1041"/>
    </row>
    <row r="28" spans="1:82" ht="13" x14ac:dyDescent="0.3">
      <c r="A28" s="1041"/>
      <c r="B28" s="1041"/>
      <c r="C28" s="1041"/>
      <c r="D28" s="1041"/>
      <c r="E28" s="1041"/>
      <c r="F28" s="1041"/>
      <c r="G28" s="1041"/>
      <c r="H28" s="1041"/>
      <c r="I28" s="1041"/>
      <c r="J28" s="1041"/>
      <c r="K28" s="1041"/>
      <c r="L28" s="1041"/>
      <c r="M28" s="1041"/>
      <c r="AA28" s="1041"/>
      <c r="AB28" s="1041"/>
      <c r="AC28" s="1041"/>
      <c r="AD28" s="1041"/>
      <c r="AE28" s="1041"/>
      <c r="AF28" s="1041"/>
      <c r="AG28" s="1041"/>
      <c r="AH28" s="1041"/>
      <c r="AI28" s="1041"/>
      <c r="AJ28" s="1041"/>
      <c r="AK28" s="1041"/>
      <c r="AL28" s="1041"/>
      <c r="AN28" s="1041"/>
      <c r="AO28" s="1041"/>
      <c r="AP28" s="1041"/>
      <c r="AQ28" s="1041"/>
      <c r="AR28" s="1041"/>
      <c r="AS28" s="1041"/>
      <c r="AT28" s="1041"/>
      <c r="AU28" s="1041"/>
      <c r="AV28" s="1041"/>
      <c r="AW28" s="1041"/>
      <c r="AX28" s="1041"/>
      <c r="AY28" s="1041"/>
      <c r="AZ28" s="1041"/>
      <c r="BA28" s="1041"/>
      <c r="BB28" s="1041"/>
      <c r="BC28" s="1041"/>
      <c r="BD28" s="1041"/>
      <c r="BE28" s="1041"/>
      <c r="BI28" s="1041"/>
      <c r="BL28" s="1041"/>
      <c r="BM28" s="1041"/>
      <c r="BX28" s="1041"/>
      <c r="CB28" s="1041"/>
    </row>
    <row r="29" spans="1:82" ht="13" customHeight="1" x14ac:dyDescent="0.3">
      <c r="A29" s="1041"/>
      <c r="B29" s="1041"/>
      <c r="C29" s="1041"/>
      <c r="D29" s="1041"/>
      <c r="E29" s="1041"/>
      <c r="F29" s="1041"/>
      <c r="G29" s="1041"/>
      <c r="H29" s="1041"/>
      <c r="I29" s="1041"/>
      <c r="J29" s="1041"/>
      <c r="K29" s="1041"/>
      <c r="L29" s="1041"/>
      <c r="M29" s="1041"/>
      <c r="AA29" s="1041"/>
      <c r="AB29" s="1041"/>
      <c r="AC29" s="1041"/>
      <c r="AD29" s="1041"/>
      <c r="AE29" s="1041"/>
      <c r="AF29" s="1041"/>
      <c r="AG29" s="1041"/>
      <c r="AH29" s="1041"/>
      <c r="AI29" s="1041"/>
      <c r="AJ29" s="1041"/>
      <c r="AK29" s="1041"/>
      <c r="AL29" s="1041"/>
      <c r="AN29" s="1041"/>
      <c r="AO29" s="1041"/>
      <c r="AP29" s="1041"/>
      <c r="AQ29" s="1041"/>
      <c r="AR29" s="1041"/>
      <c r="AS29" s="1041"/>
      <c r="AT29" s="1041"/>
      <c r="AU29" s="1041"/>
      <c r="AV29" s="1041"/>
      <c r="AW29" s="1041"/>
      <c r="AX29" s="1041"/>
      <c r="AY29" s="1041"/>
      <c r="AZ29" s="1041"/>
      <c r="BA29" s="1041"/>
      <c r="BB29" s="1041"/>
      <c r="BC29" s="1041"/>
      <c r="BD29" s="1041"/>
      <c r="BE29" s="1041"/>
      <c r="BI29" s="1041"/>
      <c r="BL29" s="1041"/>
      <c r="BM29" s="1041"/>
      <c r="BX29" s="1041"/>
      <c r="CB29" s="1041"/>
    </row>
    <row r="30" spans="1:82" ht="13" x14ac:dyDescent="0.3">
      <c r="A30" s="1041"/>
      <c r="B30" s="1041"/>
      <c r="C30" s="1041"/>
      <c r="D30" s="1041"/>
      <c r="E30" s="1041"/>
      <c r="F30" s="1041"/>
      <c r="G30" s="1041"/>
      <c r="H30" s="1041"/>
      <c r="I30" s="1041"/>
      <c r="J30" s="1041"/>
      <c r="K30" s="1041"/>
      <c r="L30" s="1041"/>
      <c r="M30" s="1041"/>
      <c r="AA30" s="1041"/>
      <c r="AB30" s="1041"/>
      <c r="AC30" s="1041"/>
      <c r="AD30" s="1041"/>
      <c r="AE30" s="1041"/>
      <c r="AF30" s="1041"/>
      <c r="AG30" s="1041"/>
      <c r="AH30" s="1041"/>
      <c r="AI30" s="1041"/>
      <c r="AJ30" s="1041"/>
      <c r="AK30" s="1041"/>
      <c r="AL30" s="1041"/>
      <c r="AN30" s="1041"/>
      <c r="AO30" s="1041"/>
      <c r="AP30" s="1041"/>
      <c r="AQ30" s="1041"/>
      <c r="AR30" s="1041"/>
      <c r="AS30" s="1041"/>
      <c r="AT30" s="1041"/>
      <c r="AU30" s="1041"/>
      <c r="AV30" s="1041"/>
      <c r="AW30" s="1041"/>
      <c r="AX30" s="1041"/>
      <c r="AY30" s="1041"/>
      <c r="AZ30" s="1041"/>
      <c r="BA30" s="1041"/>
      <c r="BB30" s="1041"/>
      <c r="BC30" s="1041"/>
      <c r="BD30" s="1041"/>
      <c r="BE30" s="1041"/>
      <c r="BI30" s="1041"/>
      <c r="BL30" s="1041"/>
      <c r="BM30" s="1041"/>
      <c r="BX30" s="1041"/>
      <c r="CB30" s="1041"/>
    </row>
    <row r="31" spans="1:82" ht="13" x14ac:dyDescent="0.3">
      <c r="A31" s="1041"/>
      <c r="B31" s="1041"/>
      <c r="C31" s="1041"/>
      <c r="D31" s="1041"/>
      <c r="E31" s="1041"/>
      <c r="F31" s="1041"/>
      <c r="G31" s="1041"/>
      <c r="H31" s="1041"/>
      <c r="I31" s="1041"/>
      <c r="J31" s="1041"/>
      <c r="K31" s="1041"/>
      <c r="L31" s="1041"/>
      <c r="M31" s="1041"/>
      <c r="AA31" s="1041"/>
      <c r="AB31" s="1041"/>
      <c r="AC31" s="1041"/>
      <c r="AD31" s="1041"/>
      <c r="AE31" s="1041"/>
      <c r="AF31" s="1041"/>
      <c r="AG31" s="1041"/>
      <c r="AH31" s="1041"/>
      <c r="AI31" s="1041"/>
      <c r="AJ31" s="1041"/>
      <c r="AK31" s="1041"/>
      <c r="AL31" s="1041"/>
      <c r="AN31" s="1041"/>
      <c r="AO31" s="1041"/>
      <c r="AP31" s="1041"/>
      <c r="AQ31" s="1041"/>
      <c r="AR31" s="1041"/>
      <c r="AS31" s="1041"/>
      <c r="AT31" s="1041"/>
      <c r="AU31" s="1041"/>
      <c r="AV31" s="1041"/>
      <c r="AW31" s="1041"/>
      <c r="AX31" s="1041"/>
      <c r="AY31" s="1041"/>
      <c r="AZ31" s="1041"/>
      <c r="BA31" s="1041"/>
      <c r="BB31" s="1041"/>
      <c r="BC31" s="1041"/>
      <c r="BD31" s="1041"/>
      <c r="BE31" s="1041"/>
      <c r="BI31" s="1041"/>
      <c r="BL31" s="1041"/>
      <c r="BM31" s="1041"/>
      <c r="BX31" s="1041"/>
      <c r="CB31" s="1041"/>
    </row>
    <row r="32" spans="1:82" ht="13" x14ac:dyDescent="0.3">
      <c r="A32" s="1041"/>
      <c r="B32" s="1041"/>
      <c r="C32" s="1041"/>
      <c r="D32" s="1041"/>
      <c r="E32" s="1041"/>
      <c r="F32" s="1041"/>
      <c r="G32" s="1041"/>
      <c r="H32" s="1041"/>
      <c r="I32" s="1041"/>
      <c r="J32" s="1041"/>
      <c r="K32" s="1041"/>
      <c r="L32" s="1041"/>
      <c r="M32" s="1041"/>
      <c r="AA32" s="1041"/>
      <c r="AB32" s="1041"/>
      <c r="AC32" s="1041"/>
      <c r="AD32" s="1041"/>
      <c r="AE32" s="1041"/>
      <c r="AF32" s="1041"/>
      <c r="AG32" s="1041"/>
      <c r="AH32" s="1041"/>
      <c r="AI32" s="1041"/>
      <c r="AJ32" s="1041"/>
      <c r="AK32" s="1041"/>
      <c r="AL32" s="1041"/>
      <c r="AN32" s="1041"/>
      <c r="AO32" s="1041"/>
      <c r="AP32" s="1041"/>
      <c r="AQ32" s="1041"/>
      <c r="AR32" s="1041"/>
      <c r="AS32" s="1041"/>
      <c r="AT32" s="1041"/>
      <c r="AU32" s="1041"/>
      <c r="AV32" s="1041"/>
      <c r="AW32" s="1041"/>
      <c r="AX32" s="1041"/>
      <c r="AY32" s="1041"/>
      <c r="AZ32" s="1041"/>
      <c r="BA32" s="1041"/>
      <c r="BB32" s="1041"/>
      <c r="BC32" s="1041"/>
      <c r="BD32" s="1041"/>
      <c r="BE32" s="1041"/>
      <c r="BI32" s="1041"/>
      <c r="BL32" s="1041"/>
      <c r="BM32" s="1041"/>
      <c r="BX32" s="1041"/>
      <c r="CB32" s="1041"/>
    </row>
    <row r="33" spans="1:80" ht="13" x14ac:dyDescent="0.3">
      <c r="A33" s="1041"/>
      <c r="B33" s="1041"/>
      <c r="C33" s="1041"/>
      <c r="D33" s="1041"/>
      <c r="E33" s="1041"/>
      <c r="F33" s="1041"/>
      <c r="G33" s="1041"/>
      <c r="H33" s="1041"/>
      <c r="I33" s="1041"/>
      <c r="J33" s="1041"/>
      <c r="K33" s="1041"/>
      <c r="L33" s="1041"/>
      <c r="M33" s="1041"/>
      <c r="AA33" s="1041"/>
      <c r="AB33" s="1041"/>
      <c r="AC33" s="1041"/>
      <c r="AD33" s="1041"/>
      <c r="AE33" s="1041"/>
      <c r="AF33" s="1041"/>
      <c r="AG33" s="1041"/>
      <c r="AH33" s="1041"/>
      <c r="AI33" s="1041"/>
      <c r="AJ33" s="1041"/>
      <c r="AK33" s="1041"/>
      <c r="AL33" s="1041"/>
      <c r="AN33" s="1041"/>
      <c r="AO33" s="1041"/>
      <c r="AP33" s="1041"/>
      <c r="AQ33" s="1041"/>
      <c r="AR33" s="1041"/>
      <c r="AS33" s="1041"/>
      <c r="AT33" s="1041"/>
      <c r="AU33" s="1041"/>
      <c r="AV33" s="1041"/>
      <c r="AW33" s="1041"/>
      <c r="AX33" s="1041"/>
      <c r="AY33" s="1041"/>
      <c r="AZ33" s="1041"/>
      <c r="BA33" s="1041"/>
      <c r="BB33" s="1041"/>
      <c r="BC33" s="1041"/>
      <c r="BD33" s="1041"/>
      <c r="BE33" s="1041"/>
      <c r="BI33" s="1041"/>
      <c r="BL33" s="1041"/>
      <c r="BM33" s="1041"/>
      <c r="BX33" s="1041"/>
      <c r="CB33" s="1041"/>
    </row>
    <row r="34" spans="1:80" ht="13" x14ac:dyDescent="0.3">
      <c r="A34" s="1041"/>
      <c r="B34" s="1041"/>
      <c r="C34" s="1041"/>
      <c r="D34" s="1041"/>
      <c r="E34" s="1041"/>
      <c r="F34" s="1041"/>
      <c r="G34" s="1041"/>
      <c r="H34" s="1041"/>
      <c r="I34" s="1041"/>
      <c r="J34" s="1041"/>
      <c r="K34" s="1041"/>
      <c r="L34" s="1041"/>
      <c r="M34" s="1041"/>
      <c r="AA34" s="1041"/>
      <c r="AB34" s="1041"/>
      <c r="AC34" s="1041"/>
      <c r="AD34" s="1041"/>
      <c r="AE34" s="1041"/>
      <c r="AF34" s="1041"/>
      <c r="AG34" s="1041"/>
      <c r="AH34" s="1041"/>
      <c r="AI34" s="1041"/>
      <c r="AJ34" s="1041"/>
      <c r="AK34" s="1041"/>
      <c r="AL34" s="1041"/>
      <c r="AN34" s="1041"/>
      <c r="AO34" s="1041"/>
      <c r="AP34" s="1041"/>
      <c r="AQ34" s="1041"/>
      <c r="AR34" s="1041"/>
      <c r="AS34" s="1041"/>
      <c r="AT34" s="1041"/>
      <c r="AU34" s="1041"/>
      <c r="AV34" s="1041"/>
      <c r="AW34" s="1041"/>
      <c r="AX34" s="1041"/>
      <c r="AY34" s="1041"/>
      <c r="AZ34" s="1041"/>
      <c r="BA34" s="1041"/>
      <c r="BB34" s="1041"/>
      <c r="BC34" s="1041"/>
      <c r="BD34" s="1041"/>
      <c r="BE34" s="1041"/>
      <c r="BI34" s="1041"/>
      <c r="BL34" s="1041"/>
      <c r="BM34" s="1041"/>
      <c r="BX34" s="1041"/>
      <c r="CB34" s="1041"/>
    </row>
    <row r="35" spans="1:80" ht="13" x14ac:dyDescent="0.3">
      <c r="A35" s="1041"/>
      <c r="B35" s="1041"/>
      <c r="C35" s="1041"/>
      <c r="D35" s="1041"/>
      <c r="E35" s="1041"/>
      <c r="F35" s="1041"/>
      <c r="G35" s="1041"/>
      <c r="H35" s="1041"/>
      <c r="I35" s="1041"/>
      <c r="J35" s="1041"/>
      <c r="K35" s="1041"/>
      <c r="L35" s="1041"/>
      <c r="M35" s="1041"/>
      <c r="AA35" s="1041"/>
      <c r="AB35" s="1041"/>
      <c r="AC35" s="1041"/>
      <c r="AD35" s="1041"/>
      <c r="AE35" s="1041"/>
      <c r="AF35" s="1041"/>
      <c r="AG35" s="1041"/>
      <c r="AH35" s="1041"/>
      <c r="AI35" s="1041"/>
      <c r="AJ35" s="1041"/>
      <c r="AK35" s="1041"/>
      <c r="AL35" s="1041"/>
      <c r="AN35" s="1041"/>
      <c r="AO35" s="1041"/>
      <c r="AP35" s="1041"/>
      <c r="AQ35" s="1041"/>
      <c r="AR35" s="1041"/>
      <c r="AS35" s="1041"/>
      <c r="AT35" s="1041"/>
      <c r="AU35" s="1041"/>
      <c r="AV35" s="1041"/>
      <c r="AW35" s="1041"/>
      <c r="AX35" s="1041"/>
      <c r="AY35" s="1041"/>
      <c r="AZ35" s="1041"/>
      <c r="BA35" s="1041"/>
      <c r="BB35" s="1041"/>
      <c r="BC35" s="1041"/>
      <c r="BD35" s="1041"/>
      <c r="BE35" s="1041"/>
      <c r="BI35" s="1041"/>
      <c r="BL35" s="1041"/>
      <c r="BM35" s="1041"/>
      <c r="BX35" s="1041"/>
      <c r="CB35" s="1041"/>
    </row>
    <row r="36" spans="1:80" ht="13" x14ac:dyDescent="0.3">
      <c r="A36" s="1041"/>
      <c r="B36" s="1041"/>
      <c r="C36" s="1041"/>
      <c r="D36" s="1041"/>
      <c r="E36" s="1041"/>
      <c r="F36" s="1041"/>
      <c r="G36" s="1041"/>
      <c r="H36" s="1041"/>
      <c r="I36" s="1041"/>
      <c r="J36" s="1041"/>
      <c r="K36" s="1041"/>
      <c r="L36" s="1041"/>
      <c r="M36" s="1041"/>
      <c r="AA36" s="1041"/>
      <c r="AB36" s="1041"/>
      <c r="AC36" s="1041"/>
      <c r="AD36" s="1041"/>
      <c r="AE36" s="1041"/>
      <c r="AF36" s="1041"/>
      <c r="AG36" s="1041"/>
      <c r="AH36" s="1041"/>
      <c r="AI36" s="1041"/>
      <c r="AJ36" s="1041"/>
      <c r="AK36" s="1041"/>
      <c r="AL36" s="1041"/>
      <c r="AN36" s="1041"/>
      <c r="AO36" s="1041"/>
      <c r="AP36" s="1041"/>
      <c r="AQ36" s="1041"/>
      <c r="AR36" s="1041"/>
      <c r="AS36" s="1041"/>
      <c r="AT36" s="1041"/>
      <c r="AU36" s="1041"/>
      <c r="AV36" s="1041"/>
      <c r="AW36" s="1041"/>
      <c r="AX36" s="1041"/>
      <c r="AY36" s="1041"/>
      <c r="AZ36" s="1041"/>
      <c r="BA36" s="1041"/>
      <c r="BB36" s="1041"/>
      <c r="BC36" s="1041"/>
      <c r="BD36" s="1041"/>
      <c r="BE36" s="1041"/>
      <c r="BI36" s="1041"/>
      <c r="BL36" s="1041"/>
      <c r="BM36" s="1041"/>
      <c r="BX36" s="1041"/>
      <c r="CB36" s="1041"/>
    </row>
    <row r="37" spans="1:80" ht="13" customHeight="1" x14ac:dyDescent="0.25"/>
    <row r="38" spans="1:80" ht="13" customHeight="1" x14ac:dyDescent="0.25"/>
  </sheetData>
  <mergeCells count="85">
    <mergeCell ref="AW7:BD7"/>
    <mergeCell ref="BR7:BT7"/>
    <mergeCell ref="BV7:BW7"/>
    <mergeCell ref="BX24:CD24"/>
    <mergeCell ref="BE7:BN7"/>
    <mergeCell ref="AW8:BD15"/>
    <mergeCell ref="AW16:AZ17"/>
    <mergeCell ref="BA16:BD17"/>
    <mergeCell ref="BE24:BN24"/>
    <mergeCell ref="BX7:CD7"/>
    <mergeCell ref="BU8:BU16"/>
    <mergeCell ref="BM17:BM23"/>
    <mergeCell ref="BO8:BO16"/>
    <mergeCell ref="BK17:BK23"/>
    <mergeCell ref="BN17:BN23"/>
    <mergeCell ref="BL17:BL23"/>
    <mergeCell ref="B24:S24"/>
    <mergeCell ref="AK8:AK21"/>
    <mergeCell ref="AL8:AL21"/>
    <mergeCell ref="AP24:AS24"/>
    <mergeCell ref="AM24:AO24"/>
    <mergeCell ref="X17:X23"/>
    <mergeCell ref="W17:W23"/>
    <mergeCell ref="V17:V23"/>
    <mergeCell ref="U17:U23"/>
    <mergeCell ref="CB17:CB23"/>
    <mergeCell ref="CC17:CC23"/>
    <mergeCell ref="CD17:CD23"/>
    <mergeCell ref="BV8:BW15"/>
    <mergeCell ref="BV17:BV23"/>
    <mergeCell ref="BW17:BW23"/>
    <mergeCell ref="BX17:BX23"/>
    <mergeCell ref="BY17:BY23"/>
    <mergeCell ref="BZ17:BZ23"/>
    <mergeCell ref="CA17:CA23"/>
    <mergeCell ref="BX8:CD15"/>
    <mergeCell ref="BE8:BN15"/>
    <mergeCell ref="BE17:BE23"/>
    <mergeCell ref="BF17:BF23"/>
    <mergeCell ref="BG17:BG23"/>
    <mergeCell ref="BH17:BH23"/>
    <mergeCell ref="Y7:AJ7"/>
    <mergeCell ref="AP7:AS7"/>
    <mergeCell ref="AV8:AV21"/>
    <mergeCell ref="AO17:AO23"/>
    <mergeCell ref="AN17:AN23"/>
    <mergeCell ref="AM17:AM23"/>
    <mergeCell ref="AM8:AO15"/>
    <mergeCell ref="AP8:AS15"/>
    <mergeCell ref="AS17:AS23"/>
    <mergeCell ref="AR17:AR23"/>
    <mergeCell ref="AQ17:AQ23"/>
    <mergeCell ref="AP17:AP23"/>
    <mergeCell ref="AT8:AT21"/>
    <mergeCell ref="AU8:AU21"/>
    <mergeCell ref="B7:S7"/>
    <mergeCell ref="U8:X15"/>
    <mergeCell ref="U7:X7"/>
    <mergeCell ref="P17:Q23"/>
    <mergeCell ref="B8:S15"/>
    <mergeCell ref="R17:S23"/>
    <mergeCell ref="B17:C23"/>
    <mergeCell ref="D17:E23"/>
    <mergeCell ref="F17:G23"/>
    <mergeCell ref="H17:I23"/>
    <mergeCell ref="J17:K23"/>
    <mergeCell ref="L17:M23"/>
    <mergeCell ref="N17:O23"/>
    <mergeCell ref="T8:T20"/>
    <mergeCell ref="A8:A16"/>
    <mergeCell ref="BR17:BR23"/>
    <mergeCell ref="BS17:BS23"/>
    <mergeCell ref="BT17:BT23"/>
    <mergeCell ref="Y8:AJ15"/>
    <mergeCell ref="AI17:AJ23"/>
    <mergeCell ref="AG17:AH23"/>
    <mergeCell ref="AE17:AF23"/>
    <mergeCell ref="AC17:AD23"/>
    <mergeCell ref="AA17:AB23"/>
    <mergeCell ref="Y17:Z23"/>
    <mergeCell ref="BR8:BT15"/>
    <mergeCell ref="BP8:BP22"/>
    <mergeCell ref="BQ8:BQ22"/>
    <mergeCell ref="BI17:BI23"/>
    <mergeCell ref="BJ17:BJ23"/>
  </mergeCells>
  <pageMargins left="0.314" right="0.314" top="0.11799999999999999" bottom="0.27500000000000002" header="0.157" footer="0.11799999999999999"/>
  <pageSetup scale="60" firstPageNumber="61" orientation="landscape" r:id="rId1"/>
  <headerFooter>
    <oddFooter>&amp;C&amp;P</oddFooter>
  </headerFooter>
  <colBreaks count="1" manualBreakCount="1">
    <brk id="48" max="38" man="1"/>
  </colBreak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918E7-F9E1-764C-8B76-35DE6510AE5E}">
  <dimension ref="A1:J29"/>
  <sheetViews>
    <sheetView view="pageBreakPreview" topLeftCell="E1" zoomScale="140" zoomScaleNormal="100" zoomScaleSheetLayoutView="140" workbookViewId="0">
      <selection activeCell="K4" sqref="K4"/>
    </sheetView>
  </sheetViews>
  <sheetFormatPr defaultColWidth="10.81640625" defaultRowHeight="11.5" x14ac:dyDescent="0.25"/>
  <cols>
    <col min="1" max="1" width="13.453125" style="70" customWidth="1"/>
    <col min="2" max="2" width="11" style="70" customWidth="1"/>
    <col min="3" max="3" width="8.453125" style="70" customWidth="1"/>
    <col min="4" max="4" width="11.81640625" style="70" customWidth="1"/>
    <col min="5" max="5" width="21" style="70" bestFit="1" customWidth="1"/>
    <col min="6" max="6" width="17.81640625" style="70" customWidth="1"/>
    <col min="7" max="10" width="5.7265625" style="70" customWidth="1"/>
    <col min="11" max="15" width="15.26953125" style="70" customWidth="1"/>
    <col min="16" max="19" width="4.453125" style="70" bestFit="1" customWidth="1"/>
    <col min="20" max="16384" width="10.81640625" style="70"/>
  </cols>
  <sheetData>
    <row r="1" spans="1:10" x14ac:dyDescent="0.25">
      <c r="A1" s="2566" t="s">
        <v>2647</v>
      </c>
      <c r="C1" s="73"/>
      <c r="D1" s="73"/>
    </row>
    <row r="2" spans="1:10" x14ac:dyDescent="0.25">
      <c r="A2" s="2566"/>
      <c r="C2" s="73"/>
      <c r="D2" s="73"/>
    </row>
    <row r="3" spans="1:10" x14ac:dyDescent="0.25">
      <c r="A3" s="2566"/>
      <c r="C3" s="73"/>
      <c r="D3" s="73"/>
    </row>
    <row r="4" spans="1:10" x14ac:dyDescent="0.25">
      <c r="A4" s="2320" t="s">
        <v>2732</v>
      </c>
      <c r="B4" s="2319" t="s">
        <v>2514</v>
      </c>
      <c r="C4" s="2568"/>
    </row>
    <row r="6" spans="1:10" x14ac:dyDescent="0.25">
      <c r="A6" s="1702" t="str">
        <f>CONCATENATE("(",20,"C.",TEXT(A29,"00"),")")</f>
        <v>(20C.01)</v>
      </c>
      <c r="B6" s="2591" t="str">
        <f>CONCATENATE("(",20,"C.",TEXT(B29,"00"),")")</f>
        <v>(20C.02)</v>
      </c>
      <c r="C6" s="2591" t="str">
        <f>CONCATENATE("(",20,"C.",TEXT(C29,"00"),")")</f>
        <v>(20C.03)</v>
      </c>
      <c r="D6" s="2591" t="str">
        <f t="shared" ref="D6:E6" si="0">CONCATENATE("(",20,"C.",TEXT(D29,"00"),")")</f>
        <v>(20C.04)</v>
      </c>
      <c r="E6" s="2591" t="str">
        <f t="shared" si="0"/>
        <v>(20C.05)</v>
      </c>
      <c r="F6" s="2591" t="str">
        <f>CONCATENATE("(",20,"C.",TEXT(F29,"00"),")")</f>
        <v>(20C.06)</v>
      </c>
      <c r="G6" s="3605" t="str">
        <f>CONCATENATE("(",20,"C.",TEXT(G29,"00"),")")</f>
        <v>(20C.07)</v>
      </c>
      <c r="H6" s="3606"/>
      <c r="I6" s="3606"/>
      <c r="J6" s="3607"/>
    </row>
    <row r="7" spans="1:10" x14ac:dyDescent="0.25">
      <c r="A7" s="3783" t="s">
        <v>2522</v>
      </c>
      <c r="B7" s="3783" t="s">
        <v>2523</v>
      </c>
      <c r="C7" s="3783" t="s">
        <v>2524</v>
      </c>
      <c r="D7" s="3783" t="s">
        <v>2525</v>
      </c>
      <c r="E7" s="3819" t="s">
        <v>2526</v>
      </c>
      <c r="F7" s="3220" t="s">
        <v>2527</v>
      </c>
      <c r="G7" s="3221" t="s">
        <v>2646</v>
      </c>
      <c r="H7" s="3221"/>
      <c r="I7" s="3221"/>
      <c r="J7" s="3221"/>
    </row>
    <row r="8" spans="1:10" x14ac:dyDescent="0.25">
      <c r="A8" s="2847"/>
      <c r="B8" s="2847"/>
      <c r="C8" s="2847"/>
      <c r="D8" s="2847"/>
      <c r="E8" s="3820"/>
      <c r="F8" s="2782"/>
      <c r="G8" s="3222"/>
      <c r="H8" s="3222"/>
      <c r="I8" s="3222"/>
      <c r="J8" s="3222"/>
    </row>
    <row r="9" spans="1:10" x14ac:dyDescent="0.25">
      <c r="A9" s="2847"/>
      <c r="B9" s="2847"/>
      <c r="C9" s="2847"/>
      <c r="D9" s="2847"/>
      <c r="E9" s="3820"/>
      <c r="F9" s="2782"/>
      <c r="G9" s="3222"/>
      <c r="H9" s="3222"/>
      <c r="I9" s="3222"/>
      <c r="J9" s="3222"/>
    </row>
    <row r="10" spans="1:10" x14ac:dyDescent="0.25">
      <c r="A10" s="2847"/>
      <c r="B10" s="2847"/>
      <c r="C10" s="2847"/>
      <c r="D10" s="2847"/>
      <c r="E10" s="3820"/>
      <c r="F10" s="2782"/>
      <c r="G10" s="3222"/>
      <c r="H10" s="3222"/>
      <c r="I10" s="3222"/>
      <c r="J10" s="3222"/>
    </row>
    <row r="11" spans="1:10" x14ac:dyDescent="0.25">
      <c r="A11" s="2847"/>
      <c r="B11" s="2847"/>
      <c r="C11" s="2847"/>
      <c r="D11" s="2847"/>
      <c r="E11" s="3820"/>
      <c r="F11" s="2782"/>
      <c r="G11" s="3222"/>
      <c r="H11" s="3222"/>
      <c r="I11" s="3222"/>
      <c r="J11" s="3222"/>
    </row>
    <row r="12" spans="1:10" x14ac:dyDescent="0.25">
      <c r="A12" s="2847"/>
      <c r="B12" s="2847"/>
      <c r="C12" s="2847"/>
      <c r="D12" s="2847"/>
      <c r="E12" s="3820"/>
      <c r="F12" s="2782"/>
      <c r="G12" s="3222"/>
      <c r="H12" s="3222"/>
      <c r="I12" s="3222"/>
      <c r="J12" s="3222"/>
    </row>
    <row r="13" spans="1:10" x14ac:dyDescent="0.25">
      <c r="A13" s="2847"/>
      <c r="B13" s="2847"/>
      <c r="C13" s="2847"/>
      <c r="D13" s="2847"/>
      <c r="E13" s="3820"/>
      <c r="F13" s="2782"/>
      <c r="G13" s="3222"/>
      <c r="H13" s="3222"/>
      <c r="I13" s="3222"/>
      <c r="J13" s="3222"/>
    </row>
    <row r="14" spans="1:10" x14ac:dyDescent="0.25">
      <c r="A14" s="2847"/>
      <c r="B14" s="2847"/>
      <c r="C14" s="2847"/>
      <c r="D14" s="2847"/>
      <c r="E14" s="3820"/>
      <c r="F14" s="2782"/>
      <c r="G14" s="3222"/>
      <c r="H14" s="3222"/>
      <c r="I14" s="3222"/>
      <c r="J14" s="3222"/>
    </row>
    <row r="15" spans="1:10" x14ac:dyDescent="0.25">
      <c r="A15" s="2847"/>
      <c r="B15" s="2847"/>
      <c r="C15" s="2847"/>
      <c r="D15" s="2847"/>
      <c r="E15" s="3820"/>
      <c r="F15" s="2782"/>
      <c r="G15" s="3222"/>
      <c r="H15" s="3222"/>
      <c r="I15" s="3222"/>
      <c r="J15" s="3222"/>
    </row>
    <row r="16" spans="1:10" x14ac:dyDescent="0.25">
      <c r="A16" s="2563"/>
      <c r="B16" s="2563"/>
      <c r="C16" s="2563"/>
      <c r="D16" s="2558"/>
      <c r="E16" s="2574"/>
      <c r="F16" s="2557"/>
      <c r="G16" s="3222"/>
      <c r="H16" s="3222"/>
      <c r="I16" s="3222"/>
      <c r="J16" s="3222"/>
    </row>
    <row r="17" spans="1:10" x14ac:dyDescent="0.25">
      <c r="A17" s="2563"/>
      <c r="B17" s="2563"/>
      <c r="C17" s="2563"/>
      <c r="D17" s="2558"/>
      <c r="E17" s="2574"/>
      <c r="F17" s="2557"/>
      <c r="G17" s="3273"/>
      <c r="H17" s="3273"/>
      <c r="I17" s="3273"/>
      <c r="J17" s="3273"/>
    </row>
    <row r="18" spans="1:10" x14ac:dyDescent="0.25">
      <c r="A18" s="2558" t="s">
        <v>2532</v>
      </c>
      <c r="B18" s="2586" t="s">
        <v>920</v>
      </c>
      <c r="C18" s="2586"/>
      <c r="D18" s="2558" t="s">
        <v>2533</v>
      </c>
      <c r="E18" s="2585" t="s">
        <v>920</v>
      </c>
      <c r="F18" s="2557" t="s">
        <v>2534</v>
      </c>
      <c r="G18" s="1354" t="s">
        <v>74</v>
      </c>
      <c r="H18" s="865" t="s">
        <v>109</v>
      </c>
      <c r="I18" s="865" t="s">
        <v>131</v>
      </c>
      <c r="J18" s="865" t="s">
        <v>238</v>
      </c>
    </row>
    <row r="19" spans="1:10" ht="23" x14ac:dyDescent="0.25">
      <c r="A19" s="2558" t="s">
        <v>2543</v>
      </c>
      <c r="B19" s="2586" t="s">
        <v>925</v>
      </c>
      <c r="C19" s="2586"/>
      <c r="D19" s="2558" t="s">
        <v>2544</v>
      </c>
      <c r="E19" s="2585" t="s">
        <v>925</v>
      </c>
      <c r="F19" s="2557" t="s">
        <v>2545</v>
      </c>
      <c r="G19" s="3856" t="s">
        <v>2535</v>
      </c>
      <c r="H19" s="3854" t="s">
        <v>2536</v>
      </c>
      <c r="I19" s="3854" t="s">
        <v>2537</v>
      </c>
      <c r="J19" s="3852" t="s">
        <v>2538</v>
      </c>
    </row>
    <row r="20" spans="1:10" ht="23" x14ac:dyDescent="0.25">
      <c r="A20" s="2558" t="s">
        <v>2551</v>
      </c>
      <c r="B20" s="2586"/>
      <c r="C20" s="2586"/>
      <c r="D20" s="2558" t="s">
        <v>2552</v>
      </c>
      <c r="E20" s="2585"/>
      <c r="F20" s="2557" t="s">
        <v>2553</v>
      </c>
      <c r="G20" s="3856"/>
      <c r="H20" s="3854"/>
      <c r="I20" s="3854"/>
      <c r="J20" s="3852"/>
    </row>
    <row r="21" spans="1:10" x14ac:dyDescent="0.25">
      <c r="A21" s="2337" t="s">
        <v>2558</v>
      </c>
      <c r="B21" s="2586"/>
      <c r="C21" s="2586"/>
      <c r="D21" s="2558" t="s">
        <v>2559</v>
      </c>
      <c r="E21" s="2585"/>
      <c r="F21" s="2557" t="s">
        <v>2560</v>
      </c>
      <c r="G21" s="3856"/>
      <c r="H21" s="3854"/>
      <c r="I21" s="3854"/>
      <c r="J21" s="3852"/>
    </row>
    <row r="22" spans="1:10" x14ac:dyDescent="0.25">
      <c r="A22" s="2558" t="s">
        <v>2561</v>
      </c>
      <c r="B22" s="2586"/>
      <c r="C22" s="2586"/>
      <c r="D22" s="2558" t="s">
        <v>2563</v>
      </c>
      <c r="E22" s="2585"/>
      <c r="F22" s="2557"/>
      <c r="G22" s="3856"/>
      <c r="H22" s="3854"/>
      <c r="I22" s="3854"/>
      <c r="J22" s="3852"/>
    </row>
    <row r="23" spans="1:10" ht="23" x14ac:dyDescent="0.25">
      <c r="A23" s="2563"/>
      <c r="B23" s="2563"/>
      <c r="C23" s="2563"/>
      <c r="D23" s="2558" t="s">
        <v>2566</v>
      </c>
      <c r="E23" s="2574"/>
      <c r="F23" s="2557"/>
      <c r="G23" s="3856"/>
      <c r="H23" s="3854"/>
      <c r="I23" s="3854"/>
      <c r="J23" s="3852"/>
    </row>
    <row r="24" spans="1:10" x14ac:dyDescent="0.25">
      <c r="A24" s="2564"/>
      <c r="B24" s="2564"/>
      <c r="C24" s="2564"/>
      <c r="D24" s="2587"/>
      <c r="E24" s="2565"/>
      <c r="F24" s="2559"/>
      <c r="G24" s="3857"/>
      <c r="H24" s="3855"/>
      <c r="I24" s="3855"/>
      <c r="J24" s="3853"/>
    </row>
    <row r="25" spans="1:10" ht="12" thickBot="1" x14ac:dyDescent="0.3">
      <c r="A25" s="2575" t="s">
        <v>346</v>
      </c>
      <c r="B25" s="2576" t="s">
        <v>346</v>
      </c>
      <c r="C25" s="2576" t="s">
        <v>141</v>
      </c>
      <c r="D25" s="2576" t="s">
        <v>346</v>
      </c>
      <c r="E25" s="2577" t="s">
        <v>346</v>
      </c>
      <c r="F25" s="2578" t="s">
        <v>353</v>
      </c>
      <c r="G25" s="2576" t="s">
        <v>346</v>
      </c>
      <c r="H25" s="2588" t="s">
        <v>346</v>
      </c>
      <c r="I25" s="2589" t="s">
        <v>346</v>
      </c>
      <c r="J25" s="2590" t="s">
        <v>346</v>
      </c>
    </row>
    <row r="26" spans="1:10" ht="12" thickTop="1" x14ac:dyDescent="0.25">
      <c r="A26" s="3858"/>
      <c r="B26" s="3860"/>
      <c r="C26" s="3779"/>
      <c r="D26" s="3779"/>
      <c r="E26" s="3779"/>
      <c r="F26" s="3779"/>
      <c r="G26" s="3779"/>
      <c r="H26" s="3779"/>
      <c r="I26" s="3779"/>
      <c r="J26" s="3781"/>
    </row>
    <row r="27" spans="1:10" x14ac:dyDescent="0.25">
      <c r="A27" s="3859"/>
      <c r="B27" s="3861"/>
      <c r="C27" s="3592"/>
      <c r="D27" s="3592"/>
      <c r="E27" s="3592"/>
      <c r="F27" s="3592"/>
      <c r="G27" s="3592"/>
      <c r="H27" s="3592"/>
      <c r="I27" s="3592"/>
      <c r="J27" s="3851"/>
    </row>
    <row r="29" spans="1:10" x14ac:dyDescent="0.25">
      <c r="A29" s="70">
        <v>1</v>
      </c>
      <c r="B29" s="70">
        <v>2</v>
      </c>
      <c r="C29" s="70">
        <v>3</v>
      </c>
      <c r="D29" s="70">
        <v>4</v>
      </c>
      <c r="E29" s="70">
        <v>5</v>
      </c>
      <c r="F29" s="70">
        <v>6</v>
      </c>
      <c r="G29" s="70">
        <v>7</v>
      </c>
    </row>
  </sheetData>
  <mergeCells count="22">
    <mergeCell ref="G6:J6"/>
    <mergeCell ref="G7:J17"/>
    <mergeCell ref="A26:A27"/>
    <mergeCell ref="B26:B27"/>
    <mergeCell ref="C26:C27"/>
    <mergeCell ref="D26:D27"/>
    <mergeCell ref="E26:E27"/>
    <mergeCell ref="F26:F27"/>
    <mergeCell ref="G26:G27"/>
    <mergeCell ref="H26:H27"/>
    <mergeCell ref="I26:I27"/>
    <mergeCell ref="A7:A15"/>
    <mergeCell ref="B7:B15"/>
    <mergeCell ref="C7:C15"/>
    <mergeCell ref="D7:D15"/>
    <mergeCell ref="E7:E15"/>
    <mergeCell ref="F7:F15"/>
    <mergeCell ref="J26:J27"/>
    <mergeCell ref="J19:J24"/>
    <mergeCell ref="I19:I24"/>
    <mergeCell ref="H19:H24"/>
    <mergeCell ref="G19:G24"/>
  </mergeCells>
  <pageMargins left="0.7" right="0.7" top="0.75" bottom="0.75" header="0.3" footer="0.3"/>
  <pageSetup paperSize="9" scale="56"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25"/>
  <sheetViews>
    <sheetView zoomScale="110" zoomScaleNormal="100" zoomScaleSheetLayoutView="110" workbookViewId="0">
      <selection activeCell="AH29" sqref="AH29"/>
    </sheetView>
  </sheetViews>
  <sheetFormatPr defaultColWidth="8.81640625" defaultRowHeight="15.5" x14ac:dyDescent="0.35"/>
  <cols>
    <col min="1" max="1" width="7.453125" style="945" customWidth="1"/>
    <col min="2" max="2" width="15.453125" style="945" customWidth="1"/>
    <col min="3" max="3" width="4.81640625" style="945" customWidth="1"/>
    <col min="4" max="4" width="8.453125" style="945" customWidth="1"/>
    <col min="5" max="5" width="21.453125" style="945" customWidth="1"/>
    <col min="6" max="6" width="3" style="945" customWidth="1"/>
    <col min="7" max="7" width="7.453125" style="945" customWidth="1"/>
    <col min="8" max="8" width="17.453125" style="945" customWidth="1"/>
  </cols>
  <sheetData>
    <row r="1" spans="1:8" x14ac:dyDescent="0.35">
      <c r="A1" s="944" t="s">
        <v>2567</v>
      </c>
    </row>
    <row r="2" spans="1:8" x14ac:dyDescent="0.25">
      <c r="A2" s="946" t="s">
        <v>1936</v>
      </c>
      <c r="B2" s="946" t="s">
        <v>2246</v>
      </c>
      <c r="C2" s="946"/>
      <c r="D2" s="946" t="s">
        <v>1936</v>
      </c>
      <c r="E2" s="946" t="s">
        <v>2246</v>
      </c>
      <c r="F2" s="946"/>
      <c r="G2" s="946" t="s">
        <v>1936</v>
      </c>
      <c r="H2" s="946" t="s">
        <v>2246</v>
      </c>
    </row>
    <row r="3" spans="1:8" ht="15.75" customHeight="1" x14ac:dyDescent="0.25">
      <c r="A3" s="1436"/>
      <c r="B3" s="1412"/>
      <c r="C3" s="1412"/>
      <c r="D3" s="1437"/>
      <c r="E3" s="948"/>
      <c r="F3" s="947"/>
      <c r="G3" s="947"/>
      <c r="H3" s="948"/>
    </row>
    <row r="4" spans="1:8" x14ac:dyDescent="0.25">
      <c r="A4" s="1411"/>
      <c r="B4" s="1412"/>
      <c r="C4" s="1412"/>
      <c r="D4" s="1437"/>
      <c r="E4" s="948"/>
      <c r="F4" s="947"/>
      <c r="G4" s="947"/>
      <c r="H4" s="947"/>
    </row>
    <row r="5" spans="1:8" x14ac:dyDescent="0.25">
      <c r="A5" s="947"/>
      <c r="B5" s="947"/>
      <c r="C5" s="1437"/>
      <c r="D5" s="1437"/>
      <c r="E5" s="948"/>
      <c r="F5" s="947"/>
      <c r="G5" s="947"/>
      <c r="H5" s="947"/>
    </row>
    <row r="6" spans="1:8" x14ac:dyDescent="0.25">
      <c r="A6" s="947"/>
      <c r="B6" s="947"/>
      <c r="C6" s="1437"/>
      <c r="D6" s="1437"/>
      <c r="E6" s="948"/>
      <c r="F6" s="947"/>
      <c r="G6" s="947"/>
      <c r="H6" s="947"/>
    </row>
    <row r="7" spans="1:8" x14ac:dyDescent="0.25">
      <c r="A7" s="947"/>
      <c r="B7" s="947"/>
      <c r="C7" s="1437"/>
      <c r="D7" s="1437"/>
      <c r="E7" s="948"/>
      <c r="F7" s="947"/>
      <c r="G7" s="947"/>
      <c r="H7" s="947"/>
    </row>
    <row r="8" spans="1:8" x14ac:dyDescent="0.25">
      <c r="A8" s="947"/>
      <c r="B8" s="947"/>
      <c r="C8" s="1437"/>
      <c r="D8" s="1437"/>
      <c r="E8" s="948"/>
      <c r="F8" s="947"/>
      <c r="G8" s="947"/>
      <c r="H8" s="947"/>
    </row>
    <row r="9" spans="1:8" ht="20" x14ac:dyDescent="0.35">
      <c r="A9" s="947"/>
      <c r="B9" s="1438" t="s">
        <v>2568</v>
      </c>
      <c r="C9" s="1439"/>
      <c r="D9" s="1440"/>
      <c r="F9" s="947"/>
      <c r="G9" s="947"/>
      <c r="H9" s="947"/>
    </row>
    <row r="10" spans="1:8" x14ac:dyDescent="0.25">
      <c r="A10" s="947"/>
      <c r="B10" s="947"/>
      <c r="C10" s="1437"/>
      <c r="D10" s="1437"/>
      <c r="E10" s="948"/>
      <c r="F10" s="947"/>
      <c r="G10" s="947"/>
      <c r="H10" s="947"/>
    </row>
    <row r="11" spans="1:8" x14ac:dyDescent="0.25">
      <c r="A11" s="947"/>
      <c r="B11" s="947"/>
      <c r="C11" s="947"/>
      <c r="D11" s="947"/>
      <c r="E11" s="948"/>
      <c r="F11" s="947"/>
      <c r="G11" s="947"/>
      <c r="H11" s="947"/>
    </row>
    <row r="12" spans="1:8" x14ac:dyDescent="0.25">
      <c r="A12" s="947"/>
      <c r="B12" s="947"/>
      <c r="C12" s="947"/>
      <c r="D12" s="947"/>
      <c r="E12" s="948"/>
      <c r="F12" s="947"/>
      <c r="G12" s="947"/>
      <c r="H12" s="947"/>
    </row>
    <row r="13" spans="1:8" x14ac:dyDescent="0.25">
      <c r="A13" s="947"/>
      <c r="B13" s="947"/>
      <c r="C13" s="947"/>
      <c r="D13" s="947"/>
      <c r="E13" s="948"/>
      <c r="F13" s="947"/>
      <c r="G13" s="947"/>
      <c r="H13" s="947"/>
    </row>
    <row r="14" spans="1:8" x14ac:dyDescent="0.25">
      <c r="A14" s="947"/>
      <c r="B14" s="947"/>
      <c r="C14" s="947"/>
      <c r="D14" s="947"/>
      <c r="E14" s="948"/>
      <c r="F14" s="947"/>
      <c r="G14" s="947"/>
      <c r="H14" s="947"/>
    </row>
    <row r="15" spans="1:8" x14ac:dyDescent="0.25">
      <c r="A15" s="947"/>
      <c r="B15" s="947"/>
      <c r="C15" s="947"/>
      <c r="D15" s="947"/>
      <c r="E15" s="948"/>
      <c r="F15" s="947"/>
      <c r="G15" s="947"/>
      <c r="H15" s="947"/>
    </row>
    <row r="16" spans="1:8" x14ac:dyDescent="0.25">
      <c r="A16" s="947"/>
      <c r="B16" s="947"/>
      <c r="C16" s="947"/>
      <c r="D16" s="947"/>
      <c r="E16" s="948"/>
      <c r="F16" s="947"/>
      <c r="G16" s="947"/>
      <c r="H16" s="947"/>
    </row>
    <row r="17" spans="1:8" x14ac:dyDescent="0.25">
      <c r="A17" s="947"/>
      <c r="B17" s="947"/>
      <c r="C17" s="947"/>
      <c r="D17" s="947"/>
      <c r="E17" s="948"/>
      <c r="F17" s="947"/>
      <c r="G17" s="947"/>
      <c r="H17" s="947"/>
    </row>
    <row r="18" spans="1:8" x14ac:dyDescent="0.25">
      <c r="A18" s="947"/>
      <c r="B18" s="947"/>
      <c r="C18" s="947"/>
      <c r="D18" s="947"/>
      <c r="E18" s="948"/>
      <c r="F18" s="947"/>
      <c r="G18" s="947"/>
      <c r="H18" s="947"/>
    </row>
    <row r="19" spans="1:8" x14ac:dyDescent="0.25">
      <c r="A19" s="947"/>
      <c r="B19" s="947"/>
      <c r="C19" s="947"/>
      <c r="D19" s="947"/>
      <c r="E19" s="948"/>
      <c r="F19" s="947"/>
      <c r="G19" s="947"/>
      <c r="H19" s="947"/>
    </row>
    <row r="20" spans="1:8" x14ac:dyDescent="0.25">
      <c r="A20" s="947"/>
      <c r="B20" s="947"/>
      <c r="C20" s="947"/>
      <c r="D20" s="947"/>
      <c r="E20" s="948"/>
      <c r="F20" s="947"/>
      <c r="G20" s="947"/>
      <c r="H20" s="947"/>
    </row>
    <row r="21" spans="1:8" x14ac:dyDescent="0.25">
      <c r="A21" s="947"/>
      <c r="B21" s="947"/>
      <c r="C21" s="947"/>
      <c r="D21" s="947"/>
      <c r="E21" s="948"/>
      <c r="F21" s="947"/>
      <c r="G21" s="947"/>
      <c r="H21" s="947"/>
    </row>
    <row r="22" spans="1:8" x14ac:dyDescent="0.25">
      <c r="A22" s="947"/>
      <c r="B22" s="948"/>
      <c r="C22" s="947"/>
      <c r="D22" s="947"/>
      <c r="E22" s="948"/>
      <c r="F22" s="947"/>
      <c r="G22" s="947"/>
      <c r="H22" s="947"/>
    </row>
    <row r="23" spans="1:8" x14ac:dyDescent="0.25">
      <c r="A23" s="947"/>
      <c r="B23" s="947"/>
      <c r="C23" s="947"/>
      <c r="D23" s="947"/>
      <c r="E23" s="948"/>
      <c r="F23" s="947"/>
      <c r="G23" s="947"/>
      <c r="H23" s="947"/>
    </row>
    <row r="24" spans="1:8" x14ac:dyDescent="0.25">
      <c r="A24" s="947"/>
      <c r="B24" s="947"/>
      <c r="C24" s="947"/>
      <c r="D24" s="947"/>
      <c r="E24" s="947"/>
      <c r="F24" s="947"/>
      <c r="G24" s="947"/>
      <c r="H24" s="947"/>
    </row>
    <row r="25" spans="1:8" x14ac:dyDescent="0.25">
      <c r="A25" s="947"/>
      <c r="B25" s="947"/>
      <c r="C25" s="947"/>
      <c r="D25" s="947"/>
      <c r="E25" s="947"/>
      <c r="F25" s="947"/>
      <c r="G25" s="947"/>
      <c r="H25" s="947"/>
    </row>
  </sheetData>
  <pageMargins left="0.314" right="0.314" top="0.11799999999999999" bottom="0.27500000000000002" header="0.157" footer="0.11799999999999999"/>
  <pageSetup orientation="landscape"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M47"/>
  <sheetViews>
    <sheetView view="pageBreakPreview" topLeftCell="BC9" zoomScaleNormal="120" zoomScaleSheetLayoutView="100" workbookViewId="0">
      <selection activeCell="L8" sqref="L8:L28"/>
    </sheetView>
  </sheetViews>
  <sheetFormatPr defaultColWidth="8.81640625" defaultRowHeight="15.5" x14ac:dyDescent="0.35"/>
  <cols>
    <col min="1" max="1" width="3.453125" style="15" customWidth="1"/>
    <col min="2" max="2" width="57.81640625" style="2685" customWidth="1"/>
    <col min="3" max="3" width="3.453125" style="2" customWidth="1"/>
    <col min="4" max="4" width="4.453125" style="2" customWidth="1"/>
    <col min="5" max="5" width="11.453125" style="2" customWidth="1"/>
    <col min="6" max="6" width="16.26953125" style="2" customWidth="1"/>
    <col min="7" max="8" width="5.7265625" style="2" customWidth="1"/>
    <col min="9" max="9" width="13.08984375" style="2" customWidth="1"/>
    <col min="10" max="11" width="5.7265625" style="2" customWidth="1"/>
    <col min="12" max="12" width="18.1796875" style="2" customWidth="1"/>
    <col min="13" max="13" width="7.81640625" style="2" customWidth="1"/>
    <col min="14" max="14" width="15" style="2" customWidth="1"/>
    <col min="15" max="17" width="5.7265625" style="2" customWidth="1"/>
    <col min="18" max="18" width="7.453125" style="2" customWidth="1"/>
    <col min="19" max="19" width="7.1796875" style="2" customWidth="1"/>
    <col min="20" max="21" width="10.1796875" style="2" customWidth="1"/>
    <col min="22" max="22" width="15.453125" style="2" customWidth="1"/>
    <col min="23" max="23" width="9" style="2" customWidth="1"/>
    <col min="24" max="27" width="4.1796875" style="2" customWidth="1"/>
    <col min="28" max="28" width="9" style="2" customWidth="1"/>
    <col min="29" max="29" width="3.453125" style="2" customWidth="1"/>
    <col min="30" max="30" width="11.81640625" style="2" customWidth="1"/>
    <col min="31" max="31" width="11.453125" style="2" customWidth="1"/>
    <col min="32" max="32" width="22.1796875" style="2" customWidth="1"/>
    <col min="33" max="33" width="17.7265625" style="2" customWidth="1"/>
    <col min="34" max="34" width="18.7265625" customWidth="1"/>
    <col min="35" max="35" width="18.1796875" style="2" customWidth="1"/>
    <col min="36" max="37" width="13.1796875" customWidth="1"/>
    <col min="38" max="38" width="3.453125" style="2" customWidth="1"/>
    <col min="39" max="39" width="26.7265625" customWidth="1"/>
    <col min="40" max="40" width="7.7265625" style="2" customWidth="1"/>
    <col min="41" max="41" width="22.81640625" customWidth="1"/>
    <col min="42" max="42" width="9" style="2" customWidth="1"/>
    <col min="43" max="43" width="11" style="2" customWidth="1"/>
    <col min="44" max="44" width="7.453125" style="2" customWidth="1"/>
    <col min="45" max="45" width="5.7265625" style="2" customWidth="1"/>
    <col min="46" max="46" width="15.1796875" style="2" customWidth="1"/>
    <col min="47" max="47" width="15.453125" style="2" customWidth="1"/>
    <col min="48" max="48" width="18.7265625" style="180" customWidth="1"/>
    <col min="49" max="49" width="12.1796875" style="180" customWidth="1"/>
    <col min="50" max="50" width="3.453125" style="2" customWidth="1"/>
    <col min="51" max="51" width="7.453125" style="18" customWidth="1"/>
    <col min="52" max="52" width="7.453125" style="2" customWidth="1"/>
    <col min="53" max="53" width="5.81640625" style="2" customWidth="1"/>
    <col min="54" max="54" width="11.453125" style="2" customWidth="1"/>
    <col min="55" max="55" width="20.453125" style="2" customWidth="1"/>
    <col min="56" max="56" width="18.7265625" style="180" customWidth="1"/>
    <col min="57" max="57" width="12.453125" style="180" customWidth="1"/>
    <col min="58" max="58" width="10.453125" style="180" customWidth="1"/>
    <col min="59" max="59" width="11.1796875" style="180" customWidth="1"/>
    <col min="60" max="60" width="8.1796875" style="180" customWidth="1"/>
    <col min="61" max="61" width="3.1796875" style="180" customWidth="1"/>
    <col min="62" max="65" width="3.1796875" customWidth="1"/>
  </cols>
  <sheetData>
    <row r="1" spans="1:65" ht="15.75" customHeight="1" x14ac:dyDescent="0.3">
      <c r="A1" s="12" t="s">
        <v>168</v>
      </c>
      <c r="B1" s="2670"/>
      <c r="C1" s="9" t="s">
        <v>169</v>
      </c>
      <c r="D1" s="9"/>
      <c r="E1" s="4"/>
      <c r="F1" s="4"/>
      <c r="G1" s="4"/>
      <c r="H1" s="4"/>
      <c r="I1" s="9"/>
      <c r="J1" s="4"/>
      <c r="K1" s="4"/>
      <c r="L1" s="4"/>
      <c r="M1" s="4"/>
      <c r="N1" s="12"/>
      <c r="O1" s="4"/>
      <c r="P1" s="4"/>
      <c r="Q1" s="4"/>
      <c r="R1" s="12"/>
      <c r="S1" s="4"/>
      <c r="T1" s="12"/>
      <c r="U1" s="4"/>
      <c r="V1" s="4"/>
      <c r="W1" s="4"/>
      <c r="X1" s="4"/>
      <c r="Y1" s="4"/>
      <c r="Z1" s="4"/>
      <c r="AA1" s="4"/>
      <c r="AB1" s="4"/>
      <c r="AC1" s="9" t="s">
        <v>169</v>
      </c>
      <c r="AD1" s="4"/>
      <c r="AE1" s="4"/>
      <c r="AF1" s="4"/>
      <c r="AG1" s="4"/>
      <c r="AI1" s="4"/>
      <c r="AL1" s="9" t="s">
        <v>169</v>
      </c>
      <c r="AN1" s="4"/>
      <c r="AP1" s="9"/>
      <c r="AQ1" s="4"/>
      <c r="AR1" s="4"/>
      <c r="AS1" s="4"/>
      <c r="AT1" s="4"/>
      <c r="AU1" s="4"/>
      <c r="AV1" s="178"/>
      <c r="AW1" s="178"/>
      <c r="AX1" s="9" t="s">
        <v>169</v>
      </c>
      <c r="AY1" s="4"/>
      <c r="AZ1" s="8"/>
      <c r="BA1" s="4"/>
      <c r="BB1" s="4"/>
      <c r="BC1" s="4"/>
      <c r="BD1" s="178"/>
      <c r="BE1" s="178"/>
      <c r="BF1" s="178"/>
      <c r="BG1" s="178"/>
      <c r="BH1" s="178"/>
      <c r="BI1" s="178"/>
    </row>
    <row r="2" spans="1:65" ht="15.75" customHeight="1" x14ac:dyDescent="0.3">
      <c r="A2" s="12"/>
      <c r="B2" s="2670"/>
      <c r="C2" s="9"/>
      <c r="D2" s="9"/>
      <c r="E2" s="4"/>
      <c r="F2" s="4"/>
      <c r="G2" s="4"/>
      <c r="H2" s="4"/>
      <c r="I2" s="9"/>
      <c r="J2" s="4"/>
      <c r="K2" s="4"/>
      <c r="L2" s="4"/>
      <c r="M2" s="4"/>
      <c r="N2" s="12"/>
      <c r="O2" s="4"/>
      <c r="P2" s="4"/>
      <c r="Q2" s="4"/>
      <c r="R2" s="12"/>
      <c r="S2" s="4"/>
      <c r="T2" s="12"/>
      <c r="U2" s="4"/>
      <c r="V2" s="4"/>
      <c r="W2" s="4"/>
      <c r="X2" s="4"/>
      <c r="Y2" s="4"/>
      <c r="Z2" s="4"/>
      <c r="AA2" s="4"/>
      <c r="AB2" s="4"/>
      <c r="AC2" s="9"/>
      <c r="AD2" s="4"/>
      <c r="AE2" s="4"/>
      <c r="AF2" s="4"/>
      <c r="AG2" s="4"/>
      <c r="AI2" s="4"/>
      <c r="AL2" s="9"/>
      <c r="AN2" s="4"/>
      <c r="AP2" s="9"/>
      <c r="AQ2" s="4"/>
      <c r="AR2" s="4"/>
      <c r="AS2" s="4"/>
      <c r="AT2" s="4"/>
      <c r="AU2" s="4"/>
      <c r="AV2" s="178"/>
      <c r="AW2" s="178"/>
      <c r="AX2" s="9"/>
      <c r="AY2" s="4"/>
      <c r="AZ2" s="8"/>
      <c r="BA2" s="4"/>
      <c r="BB2" s="4"/>
      <c r="BC2" s="4"/>
      <c r="BD2" s="178"/>
      <c r="BE2" s="178"/>
      <c r="BF2" s="178"/>
      <c r="BG2" s="178"/>
      <c r="BH2" s="178"/>
      <c r="BI2" s="178"/>
    </row>
    <row r="3" spans="1:65" ht="15.75" customHeight="1" x14ac:dyDescent="0.3">
      <c r="A3" s="11"/>
      <c r="B3" s="2670"/>
      <c r="C3" s="12"/>
      <c r="D3" s="12"/>
      <c r="E3" s="4"/>
      <c r="F3" s="4"/>
      <c r="G3" s="4"/>
      <c r="H3" s="4"/>
      <c r="I3" s="12"/>
      <c r="J3" s="4"/>
      <c r="K3" s="4"/>
      <c r="L3" s="4"/>
      <c r="M3" s="4"/>
      <c r="N3" s="4"/>
      <c r="O3" s="4"/>
      <c r="P3" s="4"/>
      <c r="Q3" s="4"/>
      <c r="R3" s="4"/>
      <c r="S3" s="4"/>
      <c r="T3" s="1112"/>
      <c r="U3" s="4"/>
      <c r="V3" s="4"/>
      <c r="W3" s="4"/>
      <c r="X3" s="4"/>
      <c r="Y3" s="4"/>
      <c r="Z3" s="4"/>
      <c r="AA3" s="4"/>
      <c r="AB3" s="4"/>
      <c r="AC3" s="12"/>
      <c r="AD3" s="4"/>
      <c r="AE3" s="1161"/>
      <c r="AF3" s="4"/>
      <c r="AG3" s="4"/>
      <c r="AI3" s="1160"/>
      <c r="AL3" s="12"/>
      <c r="AM3" s="1162"/>
      <c r="AN3" s="4"/>
      <c r="AP3" s="12"/>
      <c r="AQ3" s="4"/>
      <c r="AR3" s="4"/>
      <c r="AS3" s="4"/>
      <c r="AT3" s="4"/>
      <c r="AU3" s="4"/>
      <c r="AV3" s="179"/>
      <c r="AW3" s="179"/>
      <c r="AX3" s="12"/>
      <c r="AY3" s="1161"/>
      <c r="AZ3" s="8"/>
      <c r="BA3" s="4"/>
      <c r="BB3" s="4"/>
      <c r="BC3" s="4"/>
      <c r="BD3" s="179"/>
      <c r="BE3" s="179"/>
      <c r="BF3" s="179"/>
      <c r="BG3" s="179"/>
      <c r="BH3" s="179"/>
      <c r="BI3" s="179"/>
    </row>
    <row r="4" spans="1:65" ht="13.5" customHeight="1" x14ac:dyDescent="0.25">
      <c r="A4" s="2766" t="s">
        <v>170</v>
      </c>
      <c r="B4" s="2671" t="s">
        <v>171</v>
      </c>
      <c r="C4" s="2766" t="s">
        <v>170</v>
      </c>
      <c r="D4" s="185">
        <v>1</v>
      </c>
      <c r="E4" s="1816" t="str">
        <f>CONCATENATE("(1.00",E46,")")</f>
        <v>(1.00a)</v>
      </c>
      <c r="F4" s="1816" t="str">
        <f>CONCATENATE("(1.00",F46,")")</f>
        <v>(1.00b)</v>
      </c>
      <c r="G4" s="2849" t="str">
        <f>CONCATENATE("(1.00",G46,")")</f>
        <v>(1.00c)</v>
      </c>
      <c r="H4" s="2850"/>
      <c r="I4" s="1816" t="str">
        <f>CONCATENATE("(1.00",I46,")")</f>
        <v>(1.00d)</v>
      </c>
      <c r="J4" s="2849" t="str">
        <f t="shared" ref="J4" si="0">CONCATENATE("(1.00",J46,")")</f>
        <v>(1.00e)</v>
      </c>
      <c r="K4" s="2850"/>
      <c r="L4" s="1816" t="str">
        <f>CONCATENATE("(1.00",L46,")")</f>
        <v>(1.00f)</v>
      </c>
      <c r="M4" s="43">
        <v>1.01</v>
      </c>
      <c r="N4" s="1899">
        <v>1.02</v>
      </c>
      <c r="O4" s="1083">
        <v>1.03</v>
      </c>
      <c r="P4" s="1084"/>
      <c r="Q4" s="1085"/>
      <c r="R4" s="33">
        <v>1.04</v>
      </c>
      <c r="S4" s="1085"/>
      <c r="T4" s="1909">
        <v>1.05</v>
      </c>
      <c r="U4" s="1086">
        <v>1.06</v>
      </c>
      <c r="V4" s="215">
        <f>U4+0.01</f>
        <v>1.07</v>
      </c>
      <c r="W4" s="215">
        <f>V4+0.01</f>
        <v>1.08</v>
      </c>
      <c r="X4" s="2769">
        <f>W4+0.01</f>
        <v>1.0900000000000001</v>
      </c>
      <c r="Y4" s="2770"/>
      <c r="Z4" s="2770"/>
      <c r="AA4" s="2771"/>
      <c r="AB4" s="2411">
        <f>X4+0.01</f>
        <v>1.1000000000000001</v>
      </c>
      <c r="AC4" s="2766" t="s">
        <v>170</v>
      </c>
      <c r="AD4" s="2374">
        <f>AB4+0.01</f>
        <v>1.1100000000000001</v>
      </c>
      <c r="AE4" s="2374">
        <f t="shared" ref="AE4:AU4" si="1">AD4+0.01</f>
        <v>1.1200000000000001</v>
      </c>
      <c r="AF4" s="215">
        <f t="shared" si="1"/>
        <v>1.1300000000000001</v>
      </c>
      <c r="AG4" s="2411">
        <f>AF4+0.01</f>
        <v>1.1400000000000001</v>
      </c>
      <c r="AH4" s="1969">
        <f t="shared" si="1"/>
        <v>1.1500000000000001</v>
      </c>
      <c r="AI4" s="1523">
        <f t="shared" si="1"/>
        <v>1.1600000000000001</v>
      </c>
      <c r="AJ4" s="2374">
        <f t="shared" si="1"/>
        <v>1.1700000000000002</v>
      </c>
      <c r="AK4" s="215">
        <f t="shared" si="1"/>
        <v>1.1800000000000002</v>
      </c>
      <c r="AL4" s="2766" t="s">
        <v>170</v>
      </c>
      <c r="AM4" s="1523">
        <f>AK4+0.01</f>
        <v>1.1900000000000002</v>
      </c>
      <c r="AN4" s="1804">
        <f>AM4+0.01</f>
        <v>1.2000000000000002</v>
      </c>
      <c r="AO4" s="1804">
        <f>AN4+0.01</f>
        <v>1.2100000000000002</v>
      </c>
      <c r="AP4" s="1969" t="str">
        <f>CONCATENATE("(",TEXT(AO4,"0.00"), "a)")</f>
        <v>(1.21a)</v>
      </c>
      <c r="AQ4" s="215">
        <f>AO4+0.01</f>
        <v>1.2200000000000002</v>
      </c>
      <c r="AR4" s="2375">
        <f t="shared" si="1"/>
        <v>1.2300000000000002</v>
      </c>
      <c r="AS4" s="215">
        <f t="shared" si="1"/>
        <v>1.2400000000000002</v>
      </c>
      <c r="AT4" s="2374">
        <f t="shared" si="1"/>
        <v>1.2500000000000002</v>
      </c>
      <c r="AU4" s="1974">
        <f t="shared" si="1"/>
        <v>1.2600000000000002</v>
      </c>
      <c r="AV4" s="2411">
        <f>AU4+0.01</f>
        <v>1.2700000000000002</v>
      </c>
      <c r="AW4" s="215">
        <f>AV4+0.01</f>
        <v>1.2800000000000002</v>
      </c>
      <c r="AX4" s="2766" t="s">
        <v>170</v>
      </c>
      <c r="AY4" s="215">
        <f>AW4+0.01</f>
        <v>1.2900000000000003</v>
      </c>
      <c r="AZ4" s="215">
        <f t="shared" ref="AZ4:BE4" si="2">AY4+0.01</f>
        <v>1.3000000000000003</v>
      </c>
      <c r="BA4" s="215">
        <f>AZ4+0.01</f>
        <v>1.3100000000000003</v>
      </c>
      <c r="BB4" s="215">
        <f t="shared" si="2"/>
        <v>1.3200000000000003</v>
      </c>
      <c r="BC4" s="215">
        <f t="shared" si="2"/>
        <v>1.3300000000000003</v>
      </c>
      <c r="BD4" s="215">
        <f t="shared" si="2"/>
        <v>1.3400000000000003</v>
      </c>
      <c r="BE4" s="215">
        <f t="shared" si="2"/>
        <v>1.3500000000000003</v>
      </c>
      <c r="BF4" s="215">
        <f>BE4+0.01</f>
        <v>1.3600000000000003</v>
      </c>
      <c r="BG4" s="215">
        <f>BF4+0.01</f>
        <v>1.3700000000000003</v>
      </c>
      <c r="BH4" s="2374">
        <v>1.38</v>
      </c>
      <c r="BI4" s="2798">
        <f>BH4+0.01</f>
        <v>1.39</v>
      </c>
      <c r="BJ4" s="2799"/>
      <c r="BK4" s="2799"/>
      <c r="BL4" s="2799"/>
      <c r="BM4" s="2800"/>
    </row>
    <row r="5" spans="1:65" ht="14.25" customHeight="1" x14ac:dyDescent="0.25">
      <c r="A5" s="2767"/>
      <c r="B5" s="2851" t="s">
        <v>2733</v>
      </c>
      <c r="C5" s="2767"/>
      <c r="D5" s="2801" t="s">
        <v>172</v>
      </c>
      <c r="E5" s="2819" t="s">
        <v>175</v>
      </c>
      <c r="F5" s="2822" t="s">
        <v>176</v>
      </c>
      <c r="G5" s="2775" t="s">
        <v>177</v>
      </c>
      <c r="H5" s="2776"/>
      <c r="I5" s="2848" t="s">
        <v>2751</v>
      </c>
      <c r="J5" s="2775" t="s">
        <v>173</v>
      </c>
      <c r="K5" s="2776"/>
      <c r="L5" s="2820" t="s">
        <v>174</v>
      </c>
      <c r="M5" s="2783" t="s">
        <v>178</v>
      </c>
      <c r="N5" s="2803" t="s">
        <v>179</v>
      </c>
      <c r="O5" s="2784" t="s">
        <v>180</v>
      </c>
      <c r="P5" s="2785"/>
      <c r="Q5" s="2787"/>
      <c r="R5" s="2788" t="s">
        <v>181</v>
      </c>
      <c r="S5" s="2804"/>
      <c r="T5" s="2805" t="s">
        <v>182</v>
      </c>
      <c r="U5" s="2806" t="s">
        <v>183</v>
      </c>
      <c r="V5" s="2783" t="s">
        <v>184</v>
      </c>
      <c r="W5" s="2783" t="s">
        <v>185</v>
      </c>
      <c r="X5" s="2784" t="s">
        <v>186</v>
      </c>
      <c r="Y5" s="2785"/>
      <c r="Z5" s="2785"/>
      <c r="AA5" s="2786"/>
      <c r="AB5" s="2787" t="s">
        <v>187</v>
      </c>
      <c r="AC5" s="2767"/>
      <c r="AD5" s="2788" t="s">
        <v>188</v>
      </c>
      <c r="AE5" s="2807" t="s">
        <v>189</v>
      </c>
      <c r="AF5" s="2782" t="s">
        <v>190</v>
      </c>
      <c r="AG5" s="2785" t="s">
        <v>191</v>
      </c>
      <c r="AH5" s="2808" t="s">
        <v>192</v>
      </c>
      <c r="AI5" s="2809" t="s">
        <v>193</v>
      </c>
      <c r="AJ5" s="2810" t="s">
        <v>194</v>
      </c>
      <c r="AK5" s="2795" t="s">
        <v>195</v>
      </c>
      <c r="AL5" s="2767"/>
      <c r="AM5" s="2797" t="s">
        <v>196</v>
      </c>
      <c r="AN5" s="2796" t="s">
        <v>197</v>
      </c>
      <c r="AO5" s="2855" t="s">
        <v>198</v>
      </c>
      <c r="AP5" s="2803" t="s">
        <v>199</v>
      </c>
      <c r="AQ5" s="2806" t="s">
        <v>200</v>
      </c>
      <c r="AR5" s="2806" t="s">
        <v>201</v>
      </c>
      <c r="AS5" s="2807" t="s">
        <v>202</v>
      </c>
      <c r="AT5" s="2807" t="s">
        <v>203</v>
      </c>
      <c r="AU5" s="2847" t="s">
        <v>204</v>
      </c>
      <c r="AV5" s="2852" t="s">
        <v>205</v>
      </c>
      <c r="AW5" s="2782" t="s">
        <v>206</v>
      </c>
      <c r="AX5" s="2767"/>
      <c r="AY5" s="2806" t="s">
        <v>207</v>
      </c>
      <c r="AZ5" s="2806" t="s">
        <v>208</v>
      </c>
      <c r="BA5" s="2807" t="s">
        <v>209</v>
      </c>
      <c r="BB5" s="2782" t="s">
        <v>210</v>
      </c>
      <c r="BC5" s="2782" t="s">
        <v>211</v>
      </c>
      <c r="BD5" s="2782" t="s">
        <v>212</v>
      </c>
      <c r="BE5" s="2782" t="s">
        <v>213</v>
      </c>
      <c r="BF5" s="2782" t="s">
        <v>214</v>
      </c>
      <c r="BG5" s="2782" t="str">
        <f>CONCATENATE("Même si [NOM] n'a pas son propre portable, est ce que [NOM] a utilisé un téléphone au cours des 7 derniers jours ? 
1 Oui
2 Non ►(",TEXT(BI4,"0.00"),") ")</f>
        <v xml:space="preserve">Même si [NOM] n'a pas son propre portable, est ce que [NOM] a utilisé un téléphone au cours des 7 derniers jours ? 
1 Oui
2 Non ►(1.39) </v>
      </c>
      <c r="BH5" s="2808" t="s">
        <v>215</v>
      </c>
      <c r="BI5" s="2825" t="s">
        <v>216</v>
      </c>
      <c r="BJ5" s="2826"/>
      <c r="BK5" s="2826"/>
      <c r="BL5" s="2826"/>
      <c r="BM5" s="2827"/>
    </row>
    <row r="6" spans="1:65" ht="13.5" customHeight="1" x14ac:dyDescent="0.25">
      <c r="A6" s="2767"/>
      <c r="B6" s="2851"/>
      <c r="C6" s="2767"/>
      <c r="D6" s="2801"/>
      <c r="E6" s="2819"/>
      <c r="F6" s="2822"/>
      <c r="G6" s="2775"/>
      <c r="H6" s="2776"/>
      <c r="I6" s="2848"/>
      <c r="J6" s="2775"/>
      <c r="K6" s="2776"/>
      <c r="L6" s="2820"/>
      <c r="M6" s="2783"/>
      <c r="N6" s="2803"/>
      <c r="O6" s="2784"/>
      <c r="P6" s="2785"/>
      <c r="Q6" s="2787"/>
      <c r="R6" s="2788"/>
      <c r="S6" s="2804"/>
      <c r="T6" s="2805"/>
      <c r="U6" s="2806"/>
      <c r="V6" s="2783"/>
      <c r="W6" s="2783"/>
      <c r="X6" s="2784"/>
      <c r="Y6" s="2785"/>
      <c r="Z6" s="2785"/>
      <c r="AA6" s="2786"/>
      <c r="AB6" s="2787"/>
      <c r="AC6" s="2767"/>
      <c r="AD6" s="2788"/>
      <c r="AE6" s="2807"/>
      <c r="AF6" s="2782"/>
      <c r="AG6" s="2785"/>
      <c r="AH6" s="2808"/>
      <c r="AI6" s="2809"/>
      <c r="AJ6" s="2810"/>
      <c r="AK6" s="2795"/>
      <c r="AL6" s="2767"/>
      <c r="AM6" s="2797"/>
      <c r="AN6" s="2796"/>
      <c r="AO6" s="2855"/>
      <c r="AP6" s="2803"/>
      <c r="AQ6" s="2806"/>
      <c r="AR6" s="2806"/>
      <c r="AS6" s="2807"/>
      <c r="AT6" s="2807"/>
      <c r="AU6" s="2847"/>
      <c r="AV6" s="2852"/>
      <c r="AW6" s="2782"/>
      <c r="AX6" s="2767"/>
      <c r="AY6" s="2806"/>
      <c r="AZ6" s="2806"/>
      <c r="BA6" s="2807"/>
      <c r="BB6" s="2782"/>
      <c r="BC6" s="2782"/>
      <c r="BD6" s="2782"/>
      <c r="BE6" s="2782"/>
      <c r="BF6" s="2782"/>
      <c r="BG6" s="2782"/>
      <c r="BH6" s="2808"/>
      <c r="BI6" s="2825"/>
      <c r="BJ6" s="2826"/>
      <c r="BK6" s="2826"/>
      <c r="BL6" s="2826"/>
      <c r="BM6" s="2827"/>
    </row>
    <row r="7" spans="1:65" ht="26" customHeight="1" x14ac:dyDescent="0.25">
      <c r="A7" s="2767"/>
      <c r="B7" s="2851"/>
      <c r="C7" s="2767"/>
      <c r="D7" s="2801"/>
      <c r="E7" s="2819"/>
      <c r="F7" s="2822"/>
      <c r="G7" s="2775"/>
      <c r="H7" s="2776"/>
      <c r="I7" s="2848"/>
      <c r="J7" s="2775"/>
      <c r="K7" s="2776"/>
      <c r="L7" s="2820"/>
      <c r="M7" s="2783"/>
      <c r="N7" s="2803"/>
      <c r="O7" s="1087"/>
      <c r="P7" s="1088"/>
      <c r="Q7" s="1089"/>
      <c r="R7" s="2788"/>
      <c r="S7" s="2804"/>
      <c r="T7" s="2805"/>
      <c r="U7" s="2806"/>
      <c r="V7" s="2783"/>
      <c r="W7" s="2783"/>
      <c r="X7" s="2784"/>
      <c r="Y7" s="2785"/>
      <c r="Z7" s="2785"/>
      <c r="AA7" s="2786"/>
      <c r="AB7" s="2787"/>
      <c r="AC7" s="2767"/>
      <c r="AD7" s="2788"/>
      <c r="AE7" s="2807"/>
      <c r="AF7" s="2782"/>
      <c r="AG7" s="1823"/>
      <c r="AH7" s="2321"/>
      <c r="AI7" s="1524" t="s">
        <v>217</v>
      </c>
      <c r="AJ7" s="2810"/>
      <c r="AK7" s="2795"/>
      <c r="AL7" s="2767"/>
      <c r="AM7" s="2797"/>
      <c r="AN7" s="2796"/>
      <c r="AO7" s="2855"/>
      <c r="AP7" s="2803"/>
      <c r="AQ7" s="2806"/>
      <c r="AR7" s="2806"/>
      <c r="AS7" s="2807"/>
      <c r="AT7" s="2807"/>
      <c r="AU7" s="2847"/>
      <c r="AV7" s="2852"/>
      <c r="AW7" s="2782"/>
      <c r="AX7" s="2767"/>
      <c r="AY7" s="2806"/>
      <c r="AZ7" s="2806"/>
      <c r="BA7" s="2807"/>
      <c r="BB7" s="2782"/>
      <c r="BC7" s="2782"/>
      <c r="BD7" s="2782"/>
      <c r="BE7" s="2782"/>
      <c r="BF7" s="2782"/>
      <c r="BG7" s="2782"/>
      <c r="BH7" s="2808"/>
      <c r="BI7" s="2825"/>
      <c r="BJ7" s="2826"/>
      <c r="BK7" s="2826"/>
      <c r="BL7" s="2826"/>
      <c r="BM7" s="2827"/>
    </row>
    <row r="8" spans="1:65" ht="21.75" customHeight="1" x14ac:dyDescent="0.25">
      <c r="A8" s="2767"/>
      <c r="B8" s="2851"/>
      <c r="C8" s="2767"/>
      <c r="D8" s="2801"/>
      <c r="E8" s="2819"/>
      <c r="F8" s="2823" t="s">
        <v>2749</v>
      </c>
      <c r="G8" s="2775" t="str">
        <f>CONCATENATE("►►(",TEXT(M4,"0.00"),")")</f>
        <v>►►(1.01)</v>
      </c>
      <c r="H8" s="2776"/>
      <c r="I8" s="2848"/>
      <c r="J8" s="2686"/>
      <c r="K8" s="2687"/>
      <c r="L8" s="2821" t="s">
        <v>218</v>
      </c>
      <c r="M8" s="2783"/>
      <c r="N8" s="2803"/>
      <c r="O8" s="2831" t="str">
        <f>CONCATENATE("Si au moins l'année de naissance de [NOM] est déclarée 
►",TEXT(T4,"(0.00)"),)</f>
        <v>Si au moins l'année de naissance de [NOM] est déclarée 
►(1.05)</v>
      </c>
      <c r="P8" s="2832"/>
      <c r="Q8" s="2833"/>
      <c r="R8" s="2788" t="s">
        <v>219</v>
      </c>
      <c r="S8" s="2804"/>
      <c r="T8" s="2805"/>
      <c r="U8" s="2806"/>
      <c r="V8" s="2783"/>
      <c r="W8" s="2783"/>
      <c r="X8" s="2784"/>
      <c r="Y8" s="2785"/>
      <c r="Z8" s="2785"/>
      <c r="AA8" s="2786"/>
      <c r="AB8" s="2787"/>
      <c r="AC8" s="2767"/>
      <c r="AD8" s="2788"/>
      <c r="AE8" s="2807"/>
      <c r="AF8" s="2346"/>
      <c r="AG8" s="1824" t="s">
        <v>220</v>
      </c>
      <c r="AH8" s="1906" t="s">
        <v>221</v>
      </c>
      <c r="AI8" s="1524" t="s">
        <v>222</v>
      </c>
      <c r="AJ8" s="2810"/>
      <c r="AK8" s="2795"/>
      <c r="AL8" s="2767"/>
      <c r="AM8" s="2797"/>
      <c r="AN8" s="2796"/>
      <c r="AO8" s="2834" t="s">
        <v>2648</v>
      </c>
      <c r="AP8" s="2803"/>
      <c r="AQ8" s="2806"/>
      <c r="AR8" s="2806"/>
      <c r="AS8" s="2807"/>
      <c r="AT8" s="2807"/>
      <c r="AU8" s="2847"/>
      <c r="AV8" s="2852"/>
      <c r="AW8" s="2782"/>
      <c r="AX8" s="2767"/>
      <c r="AY8" s="2806"/>
      <c r="AZ8" s="2806"/>
      <c r="BA8" s="2807"/>
      <c r="BB8" s="2782"/>
      <c r="BC8" s="1310"/>
      <c r="BD8" s="2782"/>
      <c r="BE8" s="2782"/>
      <c r="BF8" s="2782"/>
      <c r="BG8" s="2782"/>
      <c r="BH8" s="2808"/>
      <c r="BI8" s="2825"/>
      <c r="BJ8" s="2826"/>
      <c r="BK8" s="2826"/>
      <c r="BL8" s="2826"/>
      <c r="BM8" s="2827"/>
    </row>
    <row r="9" spans="1:65" ht="13.5" customHeight="1" x14ac:dyDescent="0.25">
      <c r="A9" s="2767"/>
      <c r="B9" s="2851"/>
      <c r="C9" s="2767"/>
      <c r="D9" s="2801"/>
      <c r="E9" s="2688"/>
      <c r="F9" s="2823"/>
      <c r="G9" s="2775"/>
      <c r="H9" s="2776"/>
      <c r="I9" s="2848"/>
      <c r="J9" s="2689"/>
      <c r="K9" s="2690"/>
      <c r="L9" s="2821"/>
      <c r="M9" s="44"/>
      <c r="N9" s="1900"/>
      <c r="O9" s="2831"/>
      <c r="P9" s="2832"/>
      <c r="Q9" s="2833"/>
      <c r="R9" s="2788"/>
      <c r="S9" s="2804"/>
      <c r="T9" s="2805"/>
      <c r="U9" s="2806"/>
      <c r="V9" s="2783"/>
      <c r="W9" s="2783"/>
      <c r="X9" s="2836"/>
      <c r="Y9" s="2837"/>
      <c r="Z9" s="2837"/>
      <c r="AA9" s="2838"/>
      <c r="AB9" s="2787"/>
      <c r="AC9" s="2767"/>
      <c r="AD9" s="940"/>
      <c r="AE9" s="2807"/>
      <c r="AF9" s="2782" t="s">
        <v>223</v>
      </c>
      <c r="AG9" s="1824" t="s">
        <v>224</v>
      </c>
      <c r="AH9" s="1907" t="s">
        <v>225</v>
      </c>
      <c r="AI9" s="1524" t="s">
        <v>226</v>
      </c>
      <c r="AJ9" s="2810"/>
      <c r="AK9" s="2795"/>
      <c r="AL9" s="2767"/>
      <c r="AM9" s="2797"/>
      <c r="AN9" s="2796"/>
      <c r="AO9" s="2834"/>
      <c r="AP9" s="2803"/>
      <c r="AQ9" s="2806"/>
      <c r="AR9" s="2806"/>
      <c r="AS9" s="2782"/>
      <c r="AT9" s="2323"/>
      <c r="AU9" s="2362"/>
      <c r="AV9" s="2365"/>
      <c r="AW9" s="2782"/>
      <c r="AX9" s="2767"/>
      <c r="AY9" s="2806"/>
      <c r="AZ9" s="2806"/>
      <c r="BA9" s="2782"/>
      <c r="BB9" s="2782"/>
      <c r="BC9" s="1310"/>
      <c r="BD9" s="2346"/>
      <c r="BE9" s="2346"/>
      <c r="BF9" s="2782"/>
      <c r="BG9" s="2782"/>
      <c r="BH9" s="2808"/>
      <c r="BI9" s="2828"/>
      <c r="BJ9" s="2829"/>
      <c r="BK9" s="2829"/>
      <c r="BL9" s="2829"/>
      <c r="BM9" s="2830"/>
    </row>
    <row r="10" spans="1:65" ht="15.75" customHeight="1" x14ac:dyDescent="0.25">
      <c r="A10" s="2767"/>
      <c r="B10" s="2851"/>
      <c r="C10" s="2767"/>
      <c r="D10" s="2801"/>
      <c r="E10" s="2691" t="str">
        <f>CONCATENATE("1 Oui ►(", M4, ")")</f>
        <v>1 Oui ►(1.01)</v>
      </c>
      <c r="F10" s="2823"/>
      <c r="G10" s="2775"/>
      <c r="H10" s="2776"/>
      <c r="I10" s="2848"/>
      <c r="J10" s="2691"/>
      <c r="K10" s="2692"/>
      <c r="L10" s="2821"/>
      <c r="M10" s="2506" t="s">
        <v>228</v>
      </c>
      <c r="N10" s="1900" t="s">
        <v>229</v>
      </c>
      <c r="O10" s="2831"/>
      <c r="P10" s="2832"/>
      <c r="Q10" s="2833"/>
      <c r="R10" s="2788"/>
      <c r="S10" s="2804"/>
      <c r="T10" s="2805"/>
      <c r="U10" s="2806"/>
      <c r="V10" s="680"/>
      <c r="W10" s="2783"/>
      <c r="X10" s="2836"/>
      <c r="Y10" s="2837"/>
      <c r="Z10" s="2837"/>
      <c r="AA10" s="2838"/>
      <c r="AB10" s="2787"/>
      <c r="AC10" s="2767"/>
      <c r="AD10" s="767" t="s">
        <v>230</v>
      </c>
      <c r="AE10" s="2372"/>
      <c r="AF10" s="2782"/>
      <c r="AG10" s="1824" t="s">
        <v>231</v>
      </c>
      <c r="AH10" s="1905" t="s">
        <v>232</v>
      </c>
      <c r="AI10" s="1524" t="s">
        <v>233</v>
      </c>
      <c r="AJ10" s="2810"/>
      <c r="AK10" s="2795"/>
      <c r="AL10" s="2767"/>
      <c r="AM10" s="1904" t="s">
        <v>234</v>
      </c>
      <c r="AN10" s="2796"/>
      <c r="AO10" s="2834"/>
      <c r="AP10" s="2803"/>
      <c r="AQ10" s="2806"/>
      <c r="AR10" s="2806"/>
      <c r="AS10" s="2456"/>
      <c r="AT10" s="2323" t="s">
        <v>235</v>
      </c>
      <c r="AU10" s="2331"/>
      <c r="AV10" s="2025" t="s">
        <v>236</v>
      </c>
      <c r="AW10" s="2842" t="s">
        <v>237</v>
      </c>
      <c r="AX10" s="2767"/>
      <c r="AY10" s="2806"/>
      <c r="AZ10" s="2806"/>
      <c r="BA10" s="2456"/>
      <c r="BB10" s="747" t="s">
        <v>235</v>
      </c>
      <c r="BC10" s="1311"/>
      <c r="BD10" s="186" t="s">
        <v>236</v>
      </c>
      <c r="BE10" s="2842" t="s">
        <v>237</v>
      </c>
      <c r="BF10" s="2782"/>
      <c r="BG10" s="2782"/>
      <c r="BH10" s="2808"/>
      <c r="BI10" s="1343" t="s">
        <v>74</v>
      </c>
      <c r="BJ10" s="1344" t="s">
        <v>109</v>
      </c>
      <c r="BK10" s="1344" t="s">
        <v>131</v>
      </c>
      <c r="BL10" s="1344" t="s">
        <v>238</v>
      </c>
      <c r="BM10" s="1345" t="s">
        <v>239</v>
      </c>
    </row>
    <row r="11" spans="1:65" ht="13.5" customHeight="1" x14ac:dyDescent="0.25">
      <c r="A11" s="2767"/>
      <c r="B11" s="2851"/>
      <c r="C11" s="2767"/>
      <c r="D11" s="2801"/>
      <c r="E11" s="2691" t="s">
        <v>240</v>
      </c>
      <c r="F11" s="2823"/>
      <c r="G11" s="2691"/>
      <c r="H11" s="2692"/>
      <c r="I11" s="2693"/>
      <c r="J11" s="2691"/>
      <c r="K11" s="2692"/>
      <c r="L11" s="2821"/>
      <c r="M11" s="2506" t="s">
        <v>241</v>
      </c>
      <c r="N11" s="1900" t="s">
        <v>242</v>
      </c>
      <c r="O11" s="2831"/>
      <c r="P11" s="2832"/>
      <c r="Q11" s="2833"/>
      <c r="R11" s="2788"/>
      <c r="S11" s="2804"/>
      <c r="T11" s="2805"/>
      <c r="U11" s="2806"/>
      <c r="V11" s="34" t="str">
        <f>CONCATENATE("1 Célibataire ►(",TEXT(AD4,"0.00"),")")</f>
        <v>1 Célibataire ►(1.11)</v>
      </c>
      <c r="W11" s="2466" t="s">
        <v>227</v>
      </c>
      <c r="X11" s="2836"/>
      <c r="Y11" s="2837"/>
      <c r="Z11" s="2837"/>
      <c r="AA11" s="2838"/>
      <c r="AB11" s="2297"/>
      <c r="AC11" s="2767"/>
      <c r="AD11" s="767" t="s">
        <v>243</v>
      </c>
      <c r="AE11" s="2372"/>
      <c r="AF11" s="2782"/>
      <c r="AG11" s="1824" t="s">
        <v>244</v>
      </c>
      <c r="AH11" s="1907" t="s">
        <v>245</v>
      </c>
      <c r="AI11" s="1524" t="s">
        <v>246</v>
      </c>
      <c r="AJ11" s="2810"/>
      <c r="AK11" s="2795"/>
      <c r="AL11" s="2767"/>
      <c r="AM11" s="1905" t="s">
        <v>247</v>
      </c>
      <c r="AN11" s="2796"/>
      <c r="AO11" s="2834"/>
      <c r="AP11" s="2803"/>
      <c r="AQ11" s="17"/>
      <c r="AR11" s="13"/>
      <c r="AS11" s="17"/>
      <c r="AT11" s="2323" t="s">
        <v>248</v>
      </c>
      <c r="AU11" s="2362" t="str">
        <f>CONCATENATE("0 Sans emploi  ►(",TEXT(AY4,"0.00"),")")</f>
        <v>0 Sans emploi  ►(1.29)</v>
      </c>
      <c r="AV11" s="2327" t="s">
        <v>249</v>
      </c>
      <c r="AW11" s="2842"/>
      <c r="AX11" s="2767"/>
      <c r="AY11" s="17"/>
      <c r="AZ11" s="674"/>
      <c r="BA11" s="17"/>
      <c r="BB11" s="747" t="s">
        <v>248</v>
      </c>
      <c r="BC11" s="2346" t="str">
        <f>CONCATENATE("0 Sans emploi  ►(",BF4,")")</f>
        <v>0 Sans emploi  ►(1.36)</v>
      </c>
      <c r="BD11" s="182" t="s">
        <v>249</v>
      </c>
      <c r="BE11" s="2842"/>
      <c r="BF11" s="2782"/>
      <c r="BG11" s="2782"/>
      <c r="BH11" s="2808"/>
      <c r="BI11" s="2811" t="s">
        <v>250</v>
      </c>
      <c r="BJ11" s="2811" t="s">
        <v>251</v>
      </c>
      <c r="BK11" s="2811" t="s">
        <v>252</v>
      </c>
      <c r="BL11" s="2811" t="s">
        <v>253</v>
      </c>
      <c r="BM11" s="2811" t="s">
        <v>254</v>
      </c>
    </row>
    <row r="12" spans="1:65" ht="11.25" customHeight="1" x14ac:dyDescent="0.25">
      <c r="A12" s="2767"/>
      <c r="B12" s="2851"/>
      <c r="C12" s="2767"/>
      <c r="D12" s="2801"/>
      <c r="E12" s="2688"/>
      <c r="F12" s="2823"/>
      <c r="G12" s="2694"/>
      <c r="H12" s="2695"/>
      <c r="I12" s="2693" t="str">
        <f>CONCATENATE("1 Nouveau membre")</f>
        <v>1 Nouveau membre</v>
      </c>
      <c r="J12" s="2694"/>
      <c r="K12" s="2695"/>
      <c r="L12" s="2821"/>
      <c r="M12" s="44"/>
      <c r="N12" s="1900" t="s">
        <v>255</v>
      </c>
      <c r="O12" s="2426"/>
      <c r="P12" s="2427"/>
      <c r="Q12" s="2428"/>
      <c r="R12" s="2788"/>
      <c r="S12" s="2804"/>
      <c r="T12" s="2805"/>
      <c r="U12" s="74"/>
      <c r="V12" s="34" t="s">
        <v>256</v>
      </c>
      <c r="W12" s="2782" t="str">
        <f>CONCATENATE("2 Non ►(",TEXT(AB4,"0.00"),")")</f>
        <v>2 Non ►(1.10)</v>
      </c>
      <c r="X12" s="2836"/>
      <c r="Y12" s="2837"/>
      <c r="Z12" s="2837"/>
      <c r="AA12" s="2838"/>
      <c r="AB12" s="2297"/>
      <c r="AC12" s="2767"/>
      <c r="AD12" s="1114" t="s">
        <v>257</v>
      </c>
      <c r="AE12" s="2372"/>
      <c r="AF12" s="2782"/>
      <c r="AG12" s="1824" t="s">
        <v>258</v>
      </c>
      <c r="AH12" s="1907" t="s">
        <v>259</v>
      </c>
      <c r="AI12" s="1524" t="s">
        <v>260</v>
      </c>
      <c r="AJ12" s="1211"/>
      <c r="AK12" s="592"/>
      <c r="AL12" s="2767"/>
      <c r="AM12" s="1906" t="s">
        <v>261</v>
      </c>
      <c r="AN12" s="2796"/>
      <c r="AO12" s="2834"/>
      <c r="AP12" s="2803"/>
      <c r="AQ12" s="17"/>
      <c r="AR12" s="13"/>
      <c r="AS12" s="17"/>
      <c r="AT12" s="2324" t="s">
        <v>262</v>
      </c>
      <c r="AU12" s="2847" t="s">
        <v>263</v>
      </c>
      <c r="AV12" s="2328" t="s">
        <v>264</v>
      </c>
      <c r="AW12" s="2842" t="s">
        <v>265</v>
      </c>
      <c r="AX12" s="2767"/>
      <c r="AY12" s="17"/>
      <c r="AZ12" s="674"/>
      <c r="BA12" s="17"/>
      <c r="BB12" s="2845" t="s">
        <v>262</v>
      </c>
      <c r="BC12" s="2362"/>
      <c r="BD12" s="414" t="s">
        <v>264</v>
      </c>
      <c r="BE12" s="2842" t="s">
        <v>265</v>
      </c>
      <c r="BF12" s="1606"/>
      <c r="BG12" s="2782"/>
      <c r="BH12" s="2808"/>
      <c r="BI12" s="2812"/>
      <c r="BJ12" s="2812"/>
      <c r="BK12" s="2812"/>
      <c r="BL12" s="2812"/>
      <c r="BM12" s="2812"/>
    </row>
    <row r="13" spans="1:65" ht="19.5" customHeight="1" x14ac:dyDescent="0.35">
      <c r="A13" s="2767"/>
      <c r="B13" s="2672"/>
      <c r="C13" s="2767"/>
      <c r="D13" s="2801"/>
      <c r="E13" s="2688"/>
      <c r="F13" s="2823"/>
      <c r="G13" s="2696"/>
      <c r="H13" s="2697"/>
      <c r="I13" s="2693" t="str">
        <f>CONCATENATE("2 Oubliée  ►(", M4, ")")</f>
        <v>2 Oubliée  ►(1.01)</v>
      </c>
      <c r="J13" s="2696"/>
      <c r="K13" s="2697"/>
      <c r="L13" s="2821"/>
      <c r="M13" s="44"/>
      <c r="N13" s="1900" t="s">
        <v>266</v>
      </c>
      <c r="O13" s="1087"/>
      <c r="P13" s="1088"/>
      <c r="Q13" s="1089"/>
      <c r="R13" s="2788"/>
      <c r="S13" s="2804"/>
      <c r="T13" s="1902"/>
      <c r="U13" s="37" t="s">
        <v>267</v>
      </c>
      <c r="V13" s="34" t="s">
        <v>268</v>
      </c>
      <c r="W13" s="2782"/>
      <c r="X13" s="2836"/>
      <c r="Y13" s="2837"/>
      <c r="Z13" s="2837"/>
      <c r="AA13" s="2838"/>
      <c r="AB13" s="2297"/>
      <c r="AC13" s="2767"/>
      <c r="AD13" s="1114"/>
      <c r="AE13" s="1099" t="str">
        <f>CONCATENATE("1 Oui ►(",TEXT(AG4,"0.00"),")")</f>
        <v>1 Oui ►(1.14)</v>
      </c>
      <c r="AF13" s="2782"/>
      <c r="AH13" s="1907" t="s">
        <v>269</v>
      </c>
      <c r="AI13" s="1524" t="s">
        <v>270</v>
      </c>
      <c r="AJ13" s="1099" t="s">
        <v>227</v>
      </c>
      <c r="AK13" s="534" t="str">
        <f>CONCATENATE("1 Oui")</f>
        <v>1 Oui</v>
      </c>
      <c r="AL13" s="2767"/>
      <c r="AM13" s="1906" t="s">
        <v>271</v>
      </c>
      <c r="AN13" s="1826"/>
      <c r="AO13" s="2834"/>
      <c r="AP13" s="1979"/>
      <c r="AQ13" s="37" t="s">
        <v>267</v>
      </c>
      <c r="AR13" s="187"/>
      <c r="AS13" s="37" t="s">
        <v>267</v>
      </c>
      <c r="AT13" s="2324" t="s">
        <v>272</v>
      </c>
      <c r="AU13" s="2847"/>
      <c r="AV13" s="2328" t="s">
        <v>273</v>
      </c>
      <c r="AW13" s="2842"/>
      <c r="AX13" s="2767"/>
      <c r="AY13" s="1983" t="s">
        <v>267</v>
      </c>
      <c r="AZ13" s="677"/>
      <c r="BA13" s="37" t="s">
        <v>267</v>
      </c>
      <c r="BB13" s="2845"/>
      <c r="BC13" s="2847" t="s">
        <v>263</v>
      </c>
      <c r="BD13" s="414" t="s">
        <v>273</v>
      </c>
      <c r="BE13" s="2842"/>
      <c r="BG13" s="2782"/>
      <c r="BH13" s="2808"/>
      <c r="BI13" s="2812"/>
      <c r="BJ13" s="2812"/>
      <c r="BK13" s="2812"/>
      <c r="BL13" s="2812"/>
      <c r="BM13" s="2812"/>
    </row>
    <row r="14" spans="1:65" ht="15.75" customHeight="1" x14ac:dyDescent="0.3">
      <c r="A14" s="2767"/>
      <c r="B14" s="2673" t="s">
        <v>2734</v>
      </c>
      <c r="C14" s="2767"/>
      <c r="D14" s="2801"/>
      <c r="E14" s="2688"/>
      <c r="F14" s="2823"/>
      <c r="G14" s="2696"/>
      <c r="H14" s="2697"/>
      <c r="I14" s="2698"/>
      <c r="J14" s="2696"/>
      <c r="K14" s="2697"/>
      <c r="L14" s="2821"/>
      <c r="M14" s="44"/>
      <c r="N14" s="1900" t="s">
        <v>274</v>
      </c>
      <c r="O14" s="1087"/>
      <c r="P14" s="1088"/>
      <c r="Q14" s="1089"/>
      <c r="R14" s="2788"/>
      <c r="S14" s="2804"/>
      <c r="T14" s="1910" t="s">
        <v>267</v>
      </c>
      <c r="U14" s="35" t="s">
        <v>275</v>
      </c>
      <c r="V14" s="34" t="s">
        <v>276</v>
      </c>
      <c r="W14" s="766"/>
      <c r="X14" s="2836"/>
      <c r="Y14" s="2837"/>
      <c r="Z14" s="2837"/>
      <c r="AA14" s="2838"/>
      <c r="AB14" s="2297"/>
      <c r="AC14" s="2767"/>
      <c r="AD14" s="767"/>
      <c r="AE14" s="1099" t="s">
        <v>240</v>
      </c>
      <c r="AF14" s="2782"/>
      <c r="AH14" s="1907" t="s">
        <v>277</v>
      </c>
      <c r="AI14" s="1524" t="s">
        <v>278</v>
      </c>
      <c r="AJ14" s="1099" t="str">
        <f>CONCATENATE("2 Non ► (",TEXT(AM4,"0.00"),")")</f>
        <v>2 Non ► (1.19)</v>
      </c>
      <c r="AK14" s="2381" t="str">
        <f>CONCATENATE("2 Non ► (",TEXT(AQ4,"0.00"),")")</f>
        <v>2 Non ► (1.22)</v>
      </c>
      <c r="AL14" s="2767"/>
      <c r="AM14" s="1907" t="s">
        <v>279</v>
      </c>
      <c r="AN14" s="1826"/>
      <c r="AO14" s="2834"/>
      <c r="AP14" s="1979"/>
      <c r="AQ14" s="2783" t="str">
        <f>CONCATENATE(" 2 Non  ►(",TEXT(AS4,"0.00"),")")</f>
        <v xml:space="preserve"> 2 Non  ►(1.24)</v>
      </c>
      <c r="AR14" s="188"/>
      <c r="AS14" s="37" t="s">
        <v>275</v>
      </c>
      <c r="AT14" s="2325" t="s">
        <v>280</v>
      </c>
      <c r="AU14" s="2332" t="s">
        <v>281</v>
      </c>
      <c r="AV14" s="2327" t="s">
        <v>282</v>
      </c>
      <c r="AW14" s="2842" t="s">
        <v>283</v>
      </c>
      <c r="AX14" s="2767"/>
      <c r="AY14" s="2854" t="str">
        <f>CONCATENATE("2 Non  ►(",TEXT(BA4,"0.00"),")")</f>
        <v>2 Non  ►(1.31)</v>
      </c>
      <c r="AZ14" s="678"/>
      <c r="BA14" s="37" t="s">
        <v>275</v>
      </c>
      <c r="BB14" s="2845" t="s">
        <v>272</v>
      </c>
      <c r="BC14" s="2847"/>
      <c r="BD14" s="182" t="s">
        <v>282</v>
      </c>
      <c r="BE14" s="2842" t="s">
        <v>283</v>
      </c>
      <c r="BF14" s="1606" t="str">
        <f>CONCATENATE("1 Oui  ► (",BH4,")")</f>
        <v>1 Oui  ► (1.38)</v>
      </c>
      <c r="BG14" s="2782"/>
      <c r="BH14" s="2808"/>
      <c r="BI14" s="2812"/>
      <c r="BJ14" s="2812"/>
      <c r="BK14" s="2812"/>
      <c r="BL14" s="2812"/>
      <c r="BM14" s="2812"/>
    </row>
    <row r="15" spans="1:65" ht="15" customHeight="1" x14ac:dyDescent="0.3">
      <c r="A15" s="2767"/>
      <c r="B15" s="2672" t="s">
        <v>2735</v>
      </c>
      <c r="C15" s="2767"/>
      <c r="D15" s="2801"/>
      <c r="E15" s="2688"/>
      <c r="F15" s="2823"/>
      <c r="G15" s="2694"/>
      <c r="H15" s="2695"/>
      <c r="I15" s="2698"/>
      <c r="J15" s="2694"/>
      <c r="K15" s="2695"/>
      <c r="L15" s="2821"/>
      <c r="M15" s="44"/>
      <c r="N15" s="1900" t="s">
        <v>284</v>
      </c>
      <c r="O15" s="2426"/>
      <c r="P15" s="2427"/>
      <c r="Q15" s="2428"/>
      <c r="R15" s="2788"/>
      <c r="S15" s="2804"/>
      <c r="T15" s="1910" t="str">
        <f>CONCATENATE("2 Non ►(",TEXT(V4,"0.00"),")")</f>
        <v>2 Non ►(1.07)</v>
      </c>
      <c r="V15" s="34" t="str">
        <f>CONCATENATE("5 Veuf(ve) ►(",TEXT(AB4,"0.00"),")")</f>
        <v>5 Veuf(ve) ►(1.10)</v>
      </c>
      <c r="W15" s="766"/>
      <c r="X15" s="2836"/>
      <c r="Y15" s="2837"/>
      <c r="Z15" s="2837"/>
      <c r="AA15" s="2838"/>
      <c r="AB15" s="2297"/>
      <c r="AC15" s="2767"/>
      <c r="AD15" s="767"/>
      <c r="AE15" s="2372"/>
      <c r="AF15" s="2782"/>
      <c r="AG15" s="1823"/>
      <c r="AH15" s="1907" t="s">
        <v>285</v>
      </c>
      <c r="AI15" s="1524" t="s">
        <v>286</v>
      </c>
      <c r="AJ15" s="1099"/>
      <c r="AK15" s="2381"/>
      <c r="AL15" s="2767"/>
      <c r="AM15" s="1905" t="s">
        <v>287</v>
      </c>
      <c r="AN15" s="1827"/>
      <c r="AO15" s="2834"/>
      <c r="AP15" s="1980"/>
      <c r="AQ15" s="2783"/>
      <c r="AR15" s="189"/>
      <c r="AS15" s="37"/>
      <c r="AT15" s="2323" t="s">
        <v>288</v>
      </c>
      <c r="AU15" s="2847" t="s">
        <v>289</v>
      </c>
      <c r="AV15" s="2329" t="s">
        <v>290</v>
      </c>
      <c r="AW15" s="2842"/>
      <c r="AX15" s="2767"/>
      <c r="AY15" s="2854"/>
      <c r="AZ15" s="39"/>
      <c r="BA15" s="37"/>
      <c r="BB15" s="2845"/>
      <c r="BC15" s="2332" t="s">
        <v>281</v>
      </c>
      <c r="BD15" s="190" t="s">
        <v>290</v>
      </c>
      <c r="BE15" s="2842"/>
      <c r="BF15" s="2844" t="str">
        <f>CONCATENATE("2 Non ")</f>
        <v xml:space="preserve">2 Non </v>
      </c>
      <c r="BG15" s="2782"/>
      <c r="BH15" s="2808"/>
      <c r="BI15" s="2812"/>
      <c r="BJ15" s="2812"/>
      <c r="BK15" s="2812"/>
      <c r="BL15" s="2812"/>
      <c r="BM15" s="2812"/>
    </row>
    <row r="16" spans="1:65" ht="15.75" customHeight="1" x14ac:dyDescent="0.3">
      <c r="A16" s="2767"/>
      <c r="B16" s="2672" t="s">
        <v>2736</v>
      </c>
      <c r="C16" s="2767"/>
      <c r="D16" s="2801"/>
      <c r="E16" s="2688"/>
      <c r="F16" s="2823"/>
      <c r="G16" s="2694"/>
      <c r="H16" s="2695"/>
      <c r="I16" s="2698"/>
      <c r="J16" s="2694"/>
      <c r="K16" s="2695"/>
      <c r="L16" s="2821"/>
      <c r="M16" s="44"/>
      <c r="N16" s="1901" t="s">
        <v>291</v>
      </c>
      <c r="O16" s="2426"/>
      <c r="P16" s="2427"/>
      <c r="Q16" s="2428"/>
      <c r="R16" s="2788"/>
      <c r="S16" s="2804"/>
      <c r="T16" s="1910" t="str">
        <f>CONCATENATE("3 NC  ►(",TEXT(V4,"0.00"),")")</f>
        <v>3 NC  ►(1.07)</v>
      </c>
      <c r="U16" s="2772" t="s">
        <v>292</v>
      </c>
      <c r="V16" s="34" t="str">
        <f>CONCATENATE("6 Divorcé(e) ►(",TEXT(AB4,"0.00"),")")</f>
        <v>6 Divorcé(e) ►(1.10)</v>
      </c>
      <c r="W16" s="766"/>
      <c r="X16" s="2836"/>
      <c r="Y16" s="2837"/>
      <c r="Z16" s="2837"/>
      <c r="AA16" s="2838"/>
      <c r="AB16" s="2297"/>
      <c r="AC16" s="2767"/>
      <c r="AD16" s="940"/>
      <c r="AE16" s="2372"/>
      <c r="AF16" s="2782"/>
      <c r="AG16" s="1823"/>
      <c r="AH16" s="1907" t="s">
        <v>293</v>
      </c>
      <c r="AI16" s="1524" t="s">
        <v>294</v>
      </c>
      <c r="AJ16" s="1212"/>
      <c r="AK16" s="2381"/>
      <c r="AL16" s="2767"/>
      <c r="AM16" s="1907" t="s">
        <v>295</v>
      </c>
      <c r="AN16" s="1826"/>
      <c r="AO16" s="2834"/>
      <c r="AP16" s="1979"/>
      <c r="AQ16" s="37"/>
      <c r="AR16" s="2357"/>
      <c r="AS16" s="2363"/>
      <c r="AT16" s="2324"/>
      <c r="AU16" s="2847"/>
      <c r="AV16" s="2025" t="s">
        <v>296</v>
      </c>
      <c r="AW16" s="2846" t="s">
        <v>297</v>
      </c>
      <c r="AX16" s="2767"/>
      <c r="AY16" s="37"/>
      <c r="AZ16" s="2363"/>
      <c r="BA16" s="2363"/>
      <c r="BB16" s="712" t="s">
        <v>280</v>
      </c>
      <c r="BC16" s="2847" t="s">
        <v>289</v>
      </c>
      <c r="BD16" s="186" t="s">
        <v>296</v>
      </c>
      <c r="BE16" s="2846" t="s">
        <v>297</v>
      </c>
      <c r="BF16" s="2844"/>
      <c r="BG16" s="2782"/>
      <c r="BH16" s="2808"/>
      <c r="BI16" s="2812"/>
      <c r="BJ16" s="2812"/>
      <c r="BK16" s="2812"/>
      <c r="BL16" s="2812"/>
      <c r="BM16" s="2812"/>
    </row>
    <row r="17" spans="1:65" ht="16.5" customHeight="1" x14ac:dyDescent="0.25">
      <c r="A17" s="2767"/>
      <c r="B17" s="2672" t="s">
        <v>2737</v>
      </c>
      <c r="C17" s="2767"/>
      <c r="D17" s="2801"/>
      <c r="E17" s="2688"/>
      <c r="F17" s="2823"/>
      <c r="G17" s="2694"/>
      <c r="H17" s="2695"/>
      <c r="I17" s="2698"/>
      <c r="J17" s="2694"/>
      <c r="K17" s="2695"/>
      <c r="L17" s="2821"/>
      <c r="M17" s="44"/>
      <c r="N17" s="2669" t="s">
        <v>298</v>
      </c>
      <c r="O17" s="2426"/>
      <c r="P17" s="2427"/>
      <c r="Q17" s="2428"/>
      <c r="R17" s="2788"/>
      <c r="S17" s="2804"/>
      <c r="T17" s="1911"/>
      <c r="U17" s="2772"/>
      <c r="V17" s="34"/>
      <c r="W17" s="767"/>
      <c r="X17" s="2836"/>
      <c r="Y17" s="2837"/>
      <c r="Z17" s="2837"/>
      <c r="AA17" s="2838"/>
      <c r="AB17" s="2297"/>
      <c r="AC17" s="2767"/>
      <c r="AD17" s="940"/>
      <c r="AE17" s="2372"/>
      <c r="AF17" s="2782"/>
      <c r="AG17" s="1823"/>
      <c r="AH17" s="1907" t="s">
        <v>299</v>
      </c>
      <c r="AI17" s="1524" t="s">
        <v>300</v>
      </c>
      <c r="AJ17" s="1211"/>
      <c r="AK17" s="592"/>
      <c r="AL17" s="2767"/>
      <c r="AM17" s="1907" t="s">
        <v>301</v>
      </c>
      <c r="AN17" s="1826"/>
      <c r="AO17" s="2834"/>
      <c r="AP17" s="1979"/>
      <c r="AQ17" s="37"/>
      <c r="AR17" s="35"/>
      <c r="AS17" s="2363"/>
      <c r="AT17" s="2324"/>
      <c r="AU17" s="2333" t="s">
        <v>302</v>
      </c>
      <c r="AV17" s="182" t="s">
        <v>303</v>
      </c>
      <c r="AW17" s="2846"/>
      <c r="AX17" s="2767"/>
      <c r="AY17" s="37"/>
      <c r="AZ17" s="2363"/>
      <c r="BA17" s="2363"/>
      <c r="BB17" s="747"/>
      <c r="BC17" s="2847"/>
      <c r="BD17" s="182" t="s">
        <v>303</v>
      </c>
      <c r="BE17" s="2846"/>
      <c r="BF17" s="2846"/>
      <c r="BG17" s="2782"/>
      <c r="BH17" s="2808"/>
      <c r="BI17" s="2812"/>
      <c r="BJ17" s="2812"/>
      <c r="BK17" s="2812"/>
      <c r="BL17" s="2812"/>
      <c r="BM17" s="2812"/>
    </row>
    <row r="18" spans="1:65" ht="16.5" customHeight="1" x14ac:dyDescent="0.3">
      <c r="A18" s="2767"/>
      <c r="B18" s="2672" t="s">
        <v>2738</v>
      </c>
      <c r="C18" s="2767"/>
      <c r="D18" s="2801"/>
      <c r="E18" s="2688"/>
      <c r="F18" s="2823"/>
      <c r="G18" s="2694"/>
      <c r="H18" s="2695"/>
      <c r="I18" s="2698"/>
      <c r="J18" s="2694"/>
      <c r="K18" s="2695"/>
      <c r="L18" s="2821"/>
      <c r="M18" s="44"/>
      <c r="N18" s="1902"/>
      <c r="O18" s="2426"/>
      <c r="P18" s="2427"/>
      <c r="Q18" s="2428"/>
      <c r="R18" s="2788"/>
      <c r="S18" s="2804"/>
      <c r="T18" s="1911"/>
      <c r="U18" s="2772"/>
      <c r="V18" s="34"/>
      <c r="W18" s="767"/>
      <c r="X18" s="2836"/>
      <c r="Y18" s="2837"/>
      <c r="Z18" s="2837"/>
      <c r="AA18" s="2838"/>
      <c r="AB18" s="2297"/>
      <c r="AC18" s="2767"/>
      <c r="AD18" s="940"/>
      <c r="AE18" s="2372"/>
      <c r="AF18" s="2782"/>
      <c r="AG18" s="1823"/>
      <c r="AH18" s="1907" t="s">
        <v>304</v>
      </c>
      <c r="AI18" s="1524"/>
      <c r="AJ18" s="1211"/>
      <c r="AK18" s="592"/>
      <c r="AL18" s="2767"/>
      <c r="AM18" s="1907" t="s">
        <v>305</v>
      </c>
      <c r="AN18" s="1826"/>
      <c r="AO18" s="2834"/>
      <c r="AP18" s="1979"/>
      <c r="AQ18" s="37"/>
      <c r="AR18" s="35"/>
      <c r="AS18" s="2363"/>
      <c r="AT18" s="2324"/>
      <c r="AU18" s="2332" t="s">
        <v>306</v>
      </c>
      <c r="AV18" s="2815" t="s">
        <v>307</v>
      </c>
      <c r="AW18" s="2846" t="s">
        <v>308</v>
      </c>
      <c r="AX18" s="2767"/>
      <c r="AY18" s="37"/>
      <c r="AZ18" s="2363"/>
      <c r="BA18" s="2363"/>
      <c r="BB18" s="747"/>
      <c r="BC18" s="2333" t="s">
        <v>302</v>
      </c>
      <c r="BD18" s="190" t="s">
        <v>307</v>
      </c>
      <c r="BE18" s="2844" t="s">
        <v>309</v>
      </c>
      <c r="BF18" s="2846"/>
      <c r="BG18" s="2782"/>
      <c r="BH18" s="2808"/>
      <c r="BI18" s="2812"/>
      <c r="BJ18" s="2812"/>
      <c r="BK18" s="2812"/>
      <c r="BL18" s="2812"/>
      <c r="BM18" s="2812"/>
    </row>
    <row r="19" spans="1:65" ht="13.5" customHeight="1" x14ac:dyDescent="0.25">
      <c r="A19" s="2767"/>
      <c r="B19" s="2674" t="s">
        <v>2739</v>
      </c>
      <c r="C19" s="2767"/>
      <c r="D19" s="2801"/>
      <c r="E19" s="2688"/>
      <c r="F19" s="2823"/>
      <c r="G19" s="2694"/>
      <c r="H19" s="2695"/>
      <c r="I19" s="2698"/>
      <c r="J19" s="2694"/>
      <c r="K19" s="2695"/>
      <c r="L19" s="2821"/>
      <c r="M19" s="44"/>
      <c r="N19" s="2774" t="s">
        <v>310</v>
      </c>
      <c r="O19" s="2426"/>
      <c r="P19" s="2427"/>
      <c r="Q19" s="2428"/>
      <c r="R19" s="2788"/>
      <c r="S19" s="2804"/>
      <c r="T19" s="1911"/>
      <c r="U19" s="2772"/>
      <c r="V19" s="34"/>
      <c r="W19" s="767"/>
      <c r="X19" s="2836"/>
      <c r="Y19" s="2837"/>
      <c r="Z19" s="2837"/>
      <c r="AA19" s="2838"/>
      <c r="AB19" s="2297"/>
      <c r="AC19" s="2767"/>
      <c r="AD19" s="940"/>
      <c r="AE19" s="2372"/>
      <c r="AF19" s="2782"/>
      <c r="AG19" s="1823"/>
      <c r="AH19" s="1907" t="s">
        <v>311</v>
      </c>
      <c r="AI19" s="1525"/>
      <c r="AJ19" s="1211"/>
      <c r="AK19" s="592"/>
      <c r="AL19" s="2767"/>
      <c r="AM19" s="1907" t="s">
        <v>312</v>
      </c>
      <c r="AN19" s="1828"/>
      <c r="AO19" s="2834"/>
      <c r="AP19" s="1981"/>
      <c r="AQ19" s="17"/>
      <c r="AR19" s="2357"/>
      <c r="AS19" s="2363"/>
      <c r="AT19" s="2325"/>
      <c r="AU19" s="2333" t="s">
        <v>313</v>
      </c>
      <c r="AV19" s="2815"/>
      <c r="AW19" s="2846"/>
      <c r="AX19" s="2767"/>
      <c r="AY19" s="17"/>
      <c r="AZ19" s="2814"/>
      <c r="BA19" s="2814"/>
      <c r="BB19" s="712"/>
      <c r="BC19" s="2332" t="s">
        <v>306</v>
      </c>
      <c r="BD19" s="182" t="s">
        <v>314</v>
      </c>
      <c r="BE19" s="2844"/>
      <c r="BF19" s="2846"/>
      <c r="BG19" s="2782"/>
      <c r="BH19" s="2808"/>
      <c r="BI19" s="2812"/>
      <c r="BJ19" s="2812"/>
      <c r="BK19" s="2812"/>
      <c r="BL19" s="2812"/>
      <c r="BM19" s="2812"/>
    </row>
    <row r="20" spans="1:65" ht="13.5" customHeight="1" x14ac:dyDescent="0.25">
      <c r="A20" s="2767"/>
      <c r="B20" s="2674" t="s">
        <v>2740</v>
      </c>
      <c r="C20" s="2767"/>
      <c r="D20" s="2801"/>
      <c r="E20" s="2688"/>
      <c r="F20" s="2823"/>
      <c r="G20" s="2694"/>
      <c r="H20" s="2695"/>
      <c r="I20" s="2698"/>
      <c r="J20" s="2694"/>
      <c r="K20" s="2695"/>
      <c r="L20" s="2821"/>
      <c r="M20" s="44"/>
      <c r="N20" s="2774"/>
      <c r="O20" s="2426"/>
      <c r="P20" s="2427"/>
      <c r="Q20" s="2428"/>
      <c r="R20" s="2788"/>
      <c r="S20" s="2804"/>
      <c r="T20" s="1911"/>
      <c r="U20" s="2772"/>
      <c r="V20" s="34"/>
      <c r="W20" s="767"/>
      <c r="X20" s="2836"/>
      <c r="Y20" s="2837"/>
      <c r="Z20" s="2837"/>
      <c r="AA20" s="2838"/>
      <c r="AB20" s="2297"/>
      <c r="AC20" s="2767"/>
      <c r="AD20" s="940"/>
      <c r="AE20" s="2372"/>
      <c r="AF20" s="2782"/>
      <c r="AG20" s="1823"/>
      <c r="AH20" s="1907" t="s">
        <v>315</v>
      </c>
      <c r="AI20" s="1525"/>
      <c r="AJ20" s="1211"/>
      <c r="AK20" s="592"/>
      <c r="AL20" s="2767"/>
      <c r="AM20" s="1907" t="s">
        <v>316</v>
      </c>
      <c r="AN20" s="1828"/>
      <c r="AO20" s="2834"/>
      <c r="AP20" s="1981"/>
      <c r="AQ20" s="17"/>
      <c r="AR20" s="2357"/>
      <c r="AS20" s="2363"/>
      <c r="AT20" s="2325"/>
      <c r="AU20" s="2333" t="s">
        <v>317</v>
      </c>
      <c r="AV20" s="182" t="s">
        <v>314</v>
      </c>
      <c r="AW20" s="2846" t="s">
        <v>318</v>
      </c>
      <c r="AX20" s="2767"/>
      <c r="AY20" s="17"/>
      <c r="AZ20" s="2814"/>
      <c r="BA20" s="2814"/>
      <c r="BB20" s="712"/>
      <c r="BC20" s="2333" t="s">
        <v>313</v>
      </c>
      <c r="BD20" s="190" t="s">
        <v>319</v>
      </c>
      <c r="BE20" s="190"/>
      <c r="BF20" s="2846"/>
      <c r="BG20" s="2782"/>
      <c r="BH20" s="2808"/>
      <c r="BI20" s="2812"/>
      <c r="BJ20" s="2812"/>
      <c r="BK20" s="2812"/>
      <c r="BL20" s="2812"/>
      <c r="BM20" s="2812"/>
    </row>
    <row r="21" spans="1:65" ht="13.5" customHeight="1" x14ac:dyDescent="0.25">
      <c r="A21" s="2767"/>
      <c r="B21" s="2674" t="s">
        <v>2741</v>
      </c>
      <c r="C21" s="2767"/>
      <c r="D21" s="2801"/>
      <c r="E21" s="2688"/>
      <c r="F21" s="2823"/>
      <c r="G21" s="2694"/>
      <c r="H21" s="2695"/>
      <c r="I21" s="2698"/>
      <c r="J21" s="2694"/>
      <c r="K21" s="2695"/>
      <c r="L21" s="2821"/>
      <c r="M21" s="44"/>
      <c r="N21" s="2774" t="s">
        <v>320</v>
      </c>
      <c r="O21" s="2426"/>
      <c r="P21" s="2427"/>
      <c r="Q21" s="2428"/>
      <c r="R21" s="2788"/>
      <c r="S21" s="2804"/>
      <c r="T21" s="1911"/>
      <c r="U21" s="2772"/>
      <c r="V21" s="34"/>
      <c r="W21" s="767"/>
      <c r="X21" s="2836"/>
      <c r="Y21" s="2837"/>
      <c r="Z21" s="2837"/>
      <c r="AA21" s="2838"/>
      <c r="AB21" s="2297"/>
      <c r="AC21" s="2767"/>
      <c r="AD21" s="940"/>
      <c r="AE21" s="2372"/>
      <c r="AF21" s="2782"/>
      <c r="AG21" s="1823"/>
      <c r="AH21" s="1907" t="s">
        <v>321</v>
      </c>
      <c r="AI21" s="1525"/>
      <c r="AJ21" s="1211"/>
      <c r="AK21" s="592"/>
      <c r="AL21" s="2767"/>
      <c r="AM21" s="1907" t="s">
        <v>322</v>
      </c>
      <c r="AN21" s="1828"/>
      <c r="AO21" s="2834"/>
      <c r="AP21" s="1981"/>
      <c r="AQ21" s="17"/>
      <c r="AR21" s="2357"/>
      <c r="AS21" s="2363"/>
      <c r="AT21" s="2325"/>
      <c r="AU21" s="2334" t="s">
        <v>323</v>
      </c>
      <c r="AV21" s="190" t="s">
        <v>319</v>
      </c>
      <c r="AW21" s="2846"/>
      <c r="AX21" s="2767"/>
      <c r="AY21" s="17"/>
      <c r="AZ21" s="2814"/>
      <c r="BA21" s="2814"/>
      <c r="BB21" s="712"/>
      <c r="BC21" s="2333" t="s">
        <v>317</v>
      </c>
      <c r="BD21" s="190"/>
      <c r="BE21" s="190" t="s">
        <v>318</v>
      </c>
      <c r="BF21" s="2846"/>
      <c r="BG21" s="2782"/>
      <c r="BH21" s="2808"/>
      <c r="BI21" s="2812"/>
      <c r="BJ21" s="2812"/>
      <c r="BK21" s="2812"/>
      <c r="BL21" s="2812"/>
      <c r="BM21" s="2812"/>
    </row>
    <row r="22" spans="1:65" ht="13.5" customHeight="1" x14ac:dyDescent="0.25">
      <c r="A22" s="2767"/>
      <c r="B22" s="2674" t="s">
        <v>2742</v>
      </c>
      <c r="C22" s="2767"/>
      <c r="D22" s="2801"/>
      <c r="E22" s="2688"/>
      <c r="F22" s="2823"/>
      <c r="G22" s="2694"/>
      <c r="H22" s="2695"/>
      <c r="I22" s="2698"/>
      <c r="J22" s="2694"/>
      <c r="K22" s="2695"/>
      <c r="L22" s="2821"/>
      <c r="M22" s="44"/>
      <c r="N22" s="2774"/>
      <c r="O22" s="2426"/>
      <c r="P22" s="2427"/>
      <c r="Q22" s="2428"/>
      <c r="R22" s="2788"/>
      <c r="S22" s="2804"/>
      <c r="T22" s="1911"/>
      <c r="U22" s="2772"/>
      <c r="V22" s="34"/>
      <c r="W22" s="767"/>
      <c r="X22" s="2836"/>
      <c r="Y22" s="2837"/>
      <c r="Z22" s="2837"/>
      <c r="AA22" s="2838"/>
      <c r="AB22" s="2297"/>
      <c r="AC22" s="2767"/>
      <c r="AD22" s="940"/>
      <c r="AE22" s="2372"/>
      <c r="AF22" s="2782"/>
      <c r="AG22" s="1823"/>
      <c r="AH22" s="1907" t="s">
        <v>324</v>
      </c>
      <c r="AI22" s="1525"/>
      <c r="AJ22" s="1211"/>
      <c r="AK22" s="592"/>
      <c r="AL22" s="2767"/>
      <c r="AM22" s="1907" t="s">
        <v>325</v>
      </c>
      <c r="AN22" s="1828"/>
      <c r="AO22" s="2834"/>
      <c r="AP22" s="1981"/>
      <c r="AQ22" s="17"/>
      <c r="AR22" s="2357"/>
      <c r="AS22" s="2363"/>
      <c r="AT22" s="2325"/>
      <c r="AU22" s="2334" t="s">
        <v>326</v>
      </c>
      <c r="AV22" s="2329"/>
      <c r="AW22" s="2846"/>
      <c r="AX22" s="2767"/>
      <c r="AY22" s="17"/>
      <c r="AZ22" s="2814"/>
      <c r="BA22" s="2814"/>
      <c r="BB22" s="712"/>
      <c r="BC22" s="2334" t="s">
        <v>323</v>
      </c>
      <c r="BD22" s="190"/>
      <c r="BE22" s="2361" t="s">
        <v>327</v>
      </c>
      <c r="BF22" s="2846"/>
      <c r="BG22" s="2782"/>
      <c r="BH22" s="2808"/>
      <c r="BI22" s="2812"/>
      <c r="BJ22" s="2812"/>
      <c r="BK22" s="2812"/>
      <c r="BL22" s="2812"/>
      <c r="BM22" s="2812"/>
    </row>
    <row r="23" spans="1:65" ht="13.5" customHeight="1" x14ac:dyDescent="0.25">
      <c r="A23" s="2767"/>
      <c r="B23" s="2674"/>
      <c r="C23" s="2767"/>
      <c r="D23" s="2801"/>
      <c r="E23" s="2688"/>
      <c r="F23" s="2823"/>
      <c r="G23" s="2775" t="s">
        <v>2750</v>
      </c>
      <c r="H23" s="2776"/>
      <c r="I23" s="2698"/>
      <c r="J23" s="2694"/>
      <c r="K23" s="2695"/>
      <c r="L23" s="2821"/>
      <c r="M23" s="44"/>
      <c r="N23" s="2774"/>
      <c r="O23" s="2426"/>
      <c r="P23" s="2427"/>
      <c r="Q23" s="2428"/>
      <c r="R23" s="2788"/>
      <c r="S23" s="2804"/>
      <c r="T23" s="1911"/>
      <c r="U23" s="2772"/>
      <c r="V23" s="34"/>
      <c r="W23" s="767"/>
      <c r="X23" s="2836"/>
      <c r="Y23" s="2837"/>
      <c r="Z23" s="2837"/>
      <c r="AA23" s="2838"/>
      <c r="AB23" s="2297"/>
      <c r="AC23" s="2767"/>
      <c r="AD23" s="940"/>
      <c r="AE23" s="2372"/>
      <c r="AF23" s="2782"/>
      <c r="AG23" s="1823"/>
      <c r="AH23" s="2322" t="s">
        <v>328</v>
      </c>
      <c r="AI23" s="1525"/>
      <c r="AJ23" s="1211"/>
      <c r="AK23" s="592"/>
      <c r="AL23" s="2767"/>
      <c r="AM23" s="1907" t="s">
        <v>329</v>
      </c>
      <c r="AN23" s="1828"/>
      <c r="AO23" s="2834"/>
      <c r="AP23" s="1981"/>
      <c r="AQ23" s="17"/>
      <c r="AR23" s="2357"/>
      <c r="AS23" s="2363"/>
      <c r="AT23" s="2325"/>
      <c r="AU23" s="2334" t="s">
        <v>330</v>
      </c>
      <c r="AV23" s="2329"/>
      <c r="AW23" s="190" t="s">
        <v>331</v>
      </c>
      <c r="AX23" s="2767"/>
      <c r="AY23" s="17"/>
      <c r="AZ23" s="2814"/>
      <c r="BA23" s="2814"/>
      <c r="BB23" s="712"/>
      <c r="BC23" s="2334" t="s">
        <v>326</v>
      </c>
      <c r="BD23" s="190"/>
      <c r="BE23" s="182" t="s">
        <v>332</v>
      </c>
      <c r="BF23" s="2846"/>
      <c r="BG23" s="2782"/>
      <c r="BH23" s="2808"/>
      <c r="BI23" s="2812"/>
      <c r="BJ23" s="2812"/>
      <c r="BK23" s="2812"/>
      <c r="BL23" s="2812"/>
      <c r="BM23" s="2812"/>
    </row>
    <row r="24" spans="1:65" ht="13.5" customHeight="1" x14ac:dyDescent="0.25">
      <c r="A24" s="2767"/>
      <c r="B24" s="2675"/>
      <c r="C24" s="2767"/>
      <c r="D24" s="2801"/>
      <c r="E24" s="2688"/>
      <c r="F24" s="2823"/>
      <c r="G24" s="2775"/>
      <c r="H24" s="2776"/>
      <c r="I24" s="2698"/>
      <c r="J24" s="2699"/>
      <c r="K24" s="2700"/>
      <c r="L24" s="2821"/>
      <c r="M24" s="44"/>
      <c r="N24" s="2774"/>
      <c r="O24" s="1090"/>
      <c r="P24" s="1069"/>
      <c r="Q24" s="35"/>
      <c r="R24" s="2777" t="s">
        <v>333</v>
      </c>
      <c r="S24" s="2778"/>
      <c r="T24" s="1911"/>
      <c r="U24" s="2772"/>
      <c r="V24" s="681"/>
      <c r="W24" s="768"/>
      <c r="X24" s="2836"/>
      <c r="Y24" s="2837"/>
      <c r="Z24" s="2837"/>
      <c r="AA24" s="2838"/>
      <c r="AB24" s="2298"/>
      <c r="AC24" s="2767"/>
      <c r="AD24" s="940"/>
      <c r="AE24" s="749"/>
      <c r="AF24" s="2782"/>
      <c r="AG24" s="1823"/>
      <c r="AH24" s="2322" t="s">
        <v>334</v>
      </c>
      <c r="AI24" s="2791" t="s">
        <v>335</v>
      </c>
      <c r="AJ24" s="1211"/>
      <c r="AK24" s="592"/>
      <c r="AL24" s="2767"/>
      <c r="AM24" s="1907" t="s">
        <v>336</v>
      </c>
      <c r="AN24" s="1828"/>
      <c r="AO24" s="2834"/>
      <c r="AP24" s="1981"/>
      <c r="AQ24" s="17"/>
      <c r="AR24" s="2357"/>
      <c r="AS24" s="2363"/>
      <c r="AT24" s="2324"/>
      <c r="AU24" s="2334"/>
      <c r="AV24" s="2329"/>
      <c r="AW24" s="2846" t="s">
        <v>332</v>
      </c>
      <c r="AX24" s="2767"/>
      <c r="AY24" s="17"/>
      <c r="AZ24" s="2363"/>
      <c r="BA24" s="2363"/>
      <c r="BB24" s="748"/>
      <c r="BC24" s="2334" t="s">
        <v>330</v>
      </c>
      <c r="BD24" s="190"/>
      <c r="BE24" s="190"/>
      <c r="BF24" s="2361"/>
      <c r="BG24" s="2782"/>
      <c r="BH24" s="2808"/>
      <c r="BI24" s="2812"/>
      <c r="BJ24" s="2812"/>
      <c r="BK24" s="2812"/>
      <c r="BL24" s="2812"/>
      <c r="BM24" s="2812"/>
    </row>
    <row r="25" spans="1:65" ht="13" x14ac:dyDescent="0.3">
      <c r="A25" s="2767"/>
      <c r="B25" s="2675"/>
      <c r="C25" s="2767"/>
      <c r="D25" s="2801"/>
      <c r="E25" s="2688"/>
      <c r="F25" s="2823"/>
      <c r="G25" s="2775"/>
      <c r="H25" s="2776"/>
      <c r="I25" s="2698"/>
      <c r="J25" s="2701"/>
      <c r="K25" s="2702"/>
      <c r="L25" s="2821"/>
      <c r="M25" s="44"/>
      <c r="N25" s="2774"/>
      <c r="O25" s="1091"/>
      <c r="P25" s="1092"/>
      <c r="Q25" s="1093"/>
      <c r="R25" s="2777"/>
      <c r="S25" s="2778"/>
      <c r="T25" s="1911"/>
      <c r="U25" s="2772"/>
      <c r="V25" s="682"/>
      <c r="W25" s="769"/>
      <c r="X25" s="2836"/>
      <c r="Y25" s="2837"/>
      <c r="Z25" s="2837"/>
      <c r="AA25" s="2838"/>
      <c r="AB25" s="2299"/>
      <c r="AC25" s="2767"/>
      <c r="AD25" s="1115"/>
      <c r="AE25" s="749"/>
      <c r="AF25" s="2782"/>
      <c r="AG25" s="1823"/>
      <c r="AH25" s="2322" t="s">
        <v>337</v>
      </c>
      <c r="AI25" s="2791"/>
      <c r="AJ25" s="1211"/>
      <c r="AK25" s="592"/>
      <c r="AL25" s="2767"/>
      <c r="AM25" s="1907" t="s">
        <v>338</v>
      </c>
      <c r="AN25" s="1828"/>
      <c r="AO25" s="2834"/>
      <c r="AP25" s="1981"/>
      <c r="AQ25" s="17"/>
      <c r="AR25" s="187"/>
      <c r="AS25" s="2363"/>
      <c r="AT25" s="2325"/>
      <c r="AU25" s="2334"/>
      <c r="AV25" s="2327"/>
      <c r="AW25" s="2846"/>
      <c r="AX25" s="2767"/>
      <c r="AY25" s="17"/>
      <c r="AZ25" s="679"/>
      <c r="BA25" s="2363"/>
      <c r="BB25" s="712"/>
      <c r="BC25" s="2363"/>
      <c r="BD25" s="182"/>
      <c r="BE25" s="190"/>
      <c r="BF25" s="182"/>
      <c r="BG25" s="2782"/>
      <c r="BH25" s="2808"/>
      <c r="BI25" s="2812"/>
      <c r="BJ25" s="2812"/>
      <c r="BK25" s="2812"/>
      <c r="BL25" s="2812"/>
      <c r="BM25" s="2812"/>
    </row>
    <row r="26" spans="1:65" ht="13" x14ac:dyDescent="0.3">
      <c r="A26" s="2767"/>
      <c r="B26" s="2675"/>
      <c r="C26" s="2767"/>
      <c r="D26" s="2801"/>
      <c r="E26" s="2688"/>
      <c r="F26" s="2823"/>
      <c r="G26" s="2694"/>
      <c r="H26" s="2695"/>
      <c r="I26" s="2698"/>
      <c r="J26" s="2701"/>
      <c r="K26" s="2702"/>
      <c r="L26" s="2821"/>
      <c r="M26" s="44"/>
      <c r="N26" s="2377"/>
      <c r="O26" s="1091"/>
      <c r="P26" s="1092"/>
      <c r="Q26" s="1093"/>
      <c r="R26" s="2378"/>
      <c r="S26" s="1097"/>
      <c r="T26" s="1911"/>
      <c r="U26" s="2772"/>
      <c r="V26" s="682"/>
      <c r="W26" s="769"/>
      <c r="X26" s="2836"/>
      <c r="Y26" s="2837"/>
      <c r="Z26" s="2837"/>
      <c r="AA26" s="2838"/>
      <c r="AB26" s="2299"/>
      <c r="AC26" s="2767"/>
      <c r="AD26" s="1115"/>
      <c r="AE26" s="749"/>
      <c r="AF26" s="2782"/>
      <c r="AG26" s="1823"/>
      <c r="AH26" s="592"/>
      <c r="AI26" s="2791"/>
      <c r="AJ26" s="1211"/>
      <c r="AK26" s="592"/>
      <c r="AL26" s="2767"/>
      <c r="AM26" s="1907" t="s">
        <v>339</v>
      </c>
      <c r="AN26" s="1828"/>
      <c r="AO26" s="2834"/>
      <c r="AP26" s="1981"/>
      <c r="AQ26" s="17"/>
      <c r="AR26" s="187"/>
      <c r="AS26" s="2363"/>
      <c r="AT26" s="2325"/>
      <c r="AU26" s="2334"/>
      <c r="AV26" s="2327"/>
      <c r="AW26" s="2361"/>
      <c r="AX26" s="2767"/>
      <c r="AY26" s="17"/>
      <c r="AZ26" s="679"/>
      <c r="BA26" s="2363"/>
      <c r="BB26" s="712"/>
      <c r="BC26" s="2363"/>
      <c r="BD26" s="182"/>
      <c r="BE26" s="190"/>
      <c r="BF26" s="182"/>
      <c r="BG26" s="2782"/>
      <c r="BH26" s="2808"/>
      <c r="BI26" s="2812"/>
      <c r="BJ26" s="2812"/>
      <c r="BK26" s="2812"/>
      <c r="BL26" s="2812"/>
      <c r="BM26" s="2812"/>
    </row>
    <row r="27" spans="1:65" ht="13.5" customHeight="1" x14ac:dyDescent="0.25">
      <c r="A27" s="2767"/>
      <c r="B27" s="2853" t="s">
        <v>2748</v>
      </c>
      <c r="C27" s="2767"/>
      <c r="D27" s="2801"/>
      <c r="E27" s="2688"/>
      <c r="F27" s="2823"/>
      <c r="G27" s="2694"/>
      <c r="H27" s="2695"/>
      <c r="I27" s="2698"/>
      <c r="J27" s="2701"/>
      <c r="K27" s="2702"/>
      <c r="L27" s="2821"/>
      <c r="M27" s="44"/>
      <c r="N27" s="2774" t="s">
        <v>340</v>
      </c>
      <c r="O27" s="1094"/>
      <c r="P27" s="1095"/>
      <c r="Q27" s="1096"/>
      <c r="R27" s="2378"/>
      <c r="S27" s="1097"/>
      <c r="T27" s="1911"/>
      <c r="U27" s="2772"/>
      <c r="V27" s="682"/>
      <c r="W27" s="769"/>
      <c r="X27" s="2836"/>
      <c r="Y27" s="2837"/>
      <c r="Z27" s="2837"/>
      <c r="AA27" s="2838"/>
      <c r="AB27" s="2299"/>
      <c r="AC27" s="2767"/>
      <c r="AD27" s="940"/>
      <c r="AE27" s="749"/>
      <c r="AF27" s="2782"/>
      <c r="AG27" s="1823"/>
      <c r="AH27" s="2789" t="str">
        <f>CONCATENATE("Si [NOM] n'est pas national du pays de l'enquête ►(",TEXT(AJ4,"0.00"),")")</f>
        <v>Si [NOM] n'est pas national du pays de l'enquête ►(1.17)</v>
      </c>
      <c r="AI27" s="2791"/>
      <c r="AJ27" s="1211"/>
      <c r="AK27" s="592"/>
      <c r="AL27" s="2767"/>
      <c r="AM27" s="1907" t="s">
        <v>341</v>
      </c>
      <c r="AN27" s="1828"/>
      <c r="AO27" s="2834"/>
      <c r="AP27" s="1981"/>
      <c r="AQ27" s="17"/>
      <c r="AR27" s="2357"/>
      <c r="AS27" s="2363"/>
      <c r="AT27" s="2419"/>
      <c r="AU27" s="2334"/>
      <c r="AV27" s="159"/>
      <c r="AW27" s="2361"/>
      <c r="AX27" s="2767"/>
      <c r="AY27" s="17"/>
      <c r="AZ27" s="2363"/>
      <c r="BA27" s="2363"/>
      <c r="BB27" s="2382"/>
      <c r="BC27" s="1312"/>
      <c r="BD27" s="58"/>
      <c r="BE27" s="2361"/>
      <c r="BF27" s="58"/>
      <c r="BG27" s="2782"/>
      <c r="BH27" s="2808"/>
      <c r="BI27" s="2812"/>
      <c r="BJ27" s="2812"/>
      <c r="BK27" s="2812"/>
      <c r="BL27" s="2812"/>
      <c r="BM27" s="2812"/>
    </row>
    <row r="28" spans="1:65" ht="20.25" customHeight="1" x14ac:dyDescent="0.25">
      <c r="A28" s="2767"/>
      <c r="B28" s="2853"/>
      <c r="C28" s="2767"/>
      <c r="D28" s="2801"/>
      <c r="E28" s="2688"/>
      <c r="F28" s="2823"/>
      <c r="G28" s="2793"/>
      <c r="H28" s="2794"/>
      <c r="I28" s="2698"/>
      <c r="J28" s="2703"/>
      <c r="K28" s="2704"/>
      <c r="L28" s="2821"/>
      <c r="M28" s="44"/>
      <c r="N28" s="2774"/>
      <c r="O28" s="2779" t="s">
        <v>342</v>
      </c>
      <c r="P28" s="2780"/>
      <c r="Q28" s="2781"/>
      <c r="R28" s="2378"/>
      <c r="S28" s="1097"/>
      <c r="T28" s="1911"/>
      <c r="U28" s="2772"/>
      <c r="V28" s="682"/>
      <c r="W28" s="769"/>
      <c r="X28" s="2836"/>
      <c r="Y28" s="2837"/>
      <c r="Z28" s="2837"/>
      <c r="AA28" s="2838"/>
      <c r="AB28" s="2299"/>
      <c r="AC28" s="2767"/>
      <c r="AD28" s="940"/>
      <c r="AE28" s="749"/>
      <c r="AF28" s="2782"/>
      <c r="AG28" s="1823"/>
      <c r="AH28" s="2789"/>
      <c r="AI28" s="2791"/>
      <c r="AJ28" s="1211"/>
      <c r="AK28" s="592"/>
      <c r="AL28" s="2767"/>
      <c r="AM28" s="1907" t="s">
        <v>343</v>
      </c>
      <c r="AN28" s="1828"/>
      <c r="AO28" s="2834"/>
      <c r="AP28" s="1981"/>
      <c r="AQ28" s="17"/>
      <c r="AR28" s="2357"/>
      <c r="AS28" s="2363"/>
      <c r="AT28" s="2356"/>
      <c r="AU28" s="2334"/>
      <c r="AV28" s="159"/>
      <c r="AW28" s="182"/>
      <c r="AX28" s="2767"/>
      <c r="AY28" s="17"/>
      <c r="AZ28" s="2363"/>
      <c r="BA28" s="2363"/>
      <c r="BB28" s="2363"/>
      <c r="BC28" s="2363"/>
      <c r="BD28" s="58"/>
      <c r="BE28" s="182"/>
      <c r="BF28" s="58"/>
      <c r="BG28" s="2782"/>
      <c r="BH28" s="2808"/>
      <c r="BI28" s="2812"/>
      <c r="BJ28" s="2812"/>
      <c r="BK28" s="2812"/>
      <c r="BL28" s="2812"/>
      <c r="BM28" s="2812"/>
    </row>
    <row r="29" spans="1:65" ht="12.5" x14ac:dyDescent="0.25">
      <c r="A29" s="2767"/>
      <c r="B29" s="2676"/>
      <c r="C29" s="2767"/>
      <c r="D29" s="2801"/>
      <c r="E29" s="2594"/>
      <c r="F29" s="1803"/>
      <c r="G29" s="1094">
        <v>98</v>
      </c>
      <c r="H29" s="1819">
        <v>9998</v>
      </c>
      <c r="I29" s="1817"/>
      <c r="J29" s="2379">
        <v>98</v>
      </c>
      <c r="K29" s="1098">
        <v>9998</v>
      </c>
      <c r="L29" s="2359" t="str">
        <f>CONCATENATE("►►(",TEXT(M4,"0.00"),")")</f>
        <v>►►(1.01)</v>
      </c>
      <c r="M29" s="44"/>
      <c r="N29" s="38"/>
      <c r="O29" s="2379">
        <v>98</v>
      </c>
      <c r="P29" s="2379">
        <v>98</v>
      </c>
      <c r="Q29" s="1098">
        <v>9998</v>
      </c>
      <c r="R29" s="2378"/>
      <c r="S29" s="1097"/>
      <c r="T29" s="1912"/>
      <c r="U29" s="2773"/>
      <c r="V29" s="683"/>
      <c r="W29" s="770"/>
      <c r="X29" s="2839"/>
      <c r="Y29" s="2840"/>
      <c r="Z29" s="2840"/>
      <c r="AA29" s="2841"/>
      <c r="AB29" s="2300"/>
      <c r="AC29" s="2767"/>
      <c r="AD29" s="1116"/>
      <c r="AE29" s="750"/>
      <c r="AF29" s="1825"/>
      <c r="AG29" s="1092"/>
      <c r="AH29" s="2790"/>
      <c r="AI29" s="2792"/>
      <c r="AJ29" s="1213"/>
      <c r="AK29" s="857"/>
      <c r="AL29" s="2767"/>
      <c r="AM29" s="1907" t="s">
        <v>344</v>
      </c>
      <c r="AN29" s="1828"/>
      <c r="AO29" s="2835"/>
      <c r="AP29" s="1981"/>
      <c r="AQ29" s="17"/>
      <c r="AR29" s="2357"/>
      <c r="AS29" s="2363"/>
      <c r="AT29" s="2326"/>
      <c r="AU29" s="2335"/>
      <c r="AV29" s="361"/>
      <c r="AW29" s="182"/>
      <c r="AX29" s="2767"/>
      <c r="AY29" s="676"/>
      <c r="AZ29" s="675"/>
      <c r="BA29" s="2363"/>
      <c r="BB29" s="2363"/>
      <c r="BC29" s="675"/>
      <c r="BD29" s="362"/>
      <c r="BE29" s="182"/>
      <c r="BF29" s="58"/>
      <c r="BG29" s="2843"/>
      <c r="BH29" s="2824"/>
      <c r="BI29" s="2813"/>
      <c r="BJ29" s="2813"/>
      <c r="BK29" s="2813"/>
      <c r="BL29" s="2813"/>
      <c r="BM29" s="2813"/>
    </row>
    <row r="30" spans="1:65" ht="13" thickBot="1" x14ac:dyDescent="0.3">
      <c r="A30" s="2768"/>
      <c r="B30" s="2677" t="s">
        <v>345</v>
      </c>
      <c r="C30" s="2768"/>
      <c r="D30" s="2802"/>
      <c r="E30" s="45" t="s">
        <v>346</v>
      </c>
      <c r="F30" s="1818" t="s">
        <v>346</v>
      </c>
      <c r="G30" s="42" t="s">
        <v>347</v>
      </c>
      <c r="H30" s="32" t="s">
        <v>348</v>
      </c>
      <c r="I30" s="45" t="s">
        <v>346</v>
      </c>
      <c r="J30" s="42" t="s">
        <v>347</v>
      </c>
      <c r="K30" s="32" t="s">
        <v>348</v>
      </c>
      <c r="L30" s="45" t="s">
        <v>346</v>
      </c>
      <c r="M30" s="45" t="s">
        <v>346</v>
      </c>
      <c r="N30" s="41" t="s">
        <v>346</v>
      </c>
      <c r="O30" s="42" t="s">
        <v>349</v>
      </c>
      <c r="P30" s="42" t="s">
        <v>347</v>
      </c>
      <c r="Q30" s="32" t="s">
        <v>348</v>
      </c>
      <c r="R30" s="42" t="s">
        <v>350</v>
      </c>
      <c r="S30" s="42" t="s">
        <v>347</v>
      </c>
      <c r="T30" s="42" t="s">
        <v>346</v>
      </c>
      <c r="U30" s="42" t="s">
        <v>346</v>
      </c>
      <c r="V30" s="75" t="s">
        <v>346</v>
      </c>
      <c r="W30" s="191" t="s">
        <v>346</v>
      </c>
      <c r="X30" s="75" t="s">
        <v>351</v>
      </c>
      <c r="Y30" s="75" t="s">
        <v>351</v>
      </c>
      <c r="Z30" s="75" t="s">
        <v>351</v>
      </c>
      <c r="AA30" s="75" t="s">
        <v>351</v>
      </c>
      <c r="AB30" s="75" t="s">
        <v>350</v>
      </c>
      <c r="AC30" s="2768"/>
      <c r="AD30" s="40" t="s">
        <v>346</v>
      </c>
      <c r="AE30" s="81" t="s">
        <v>346</v>
      </c>
      <c r="AF30" s="80" t="s">
        <v>346</v>
      </c>
      <c r="AG30" s="796" t="s">
        <v>346</v>
      </c>
      <c r="AH30" s="1908" t="s">
        <v>346</v>
      </c>
      <c r="AI30" s="75" t="s">
        <v>346</v>
      </c>
      <c r="AJ30" s="183" t="s">
        <v>346</v>
      </c>
      <c r="AK30" s="183" t="s">
        <v>346</v>
      </c>
      <c r="AL30" s="2768"/>
      <c r="AM30" s="1908" t="s">
        <v>346</v>
      </c>
      <c r="AN30" s="1829" t="s">
        <v>141</v>
      </c>
      <c r="AO30" s="1779" t="s">
        <v>346</v>
      </c>
      <c r="AP30" s="1982" t="s">
        <v>141</v>
      </c>
      <c r="AQ30" s="32" t="s">
        <v>352</v>
      </c>
      <c r="AR30" s="45" t="s">
        <v>170</v>
      </c>
      <c r="AS30" s="32" t="s">
        <v>352</v>
      </c>
      <c r="AT30" s="32" t="s">
        <v>352</v>
      </c>
      <c r="AU30" s="2330" t="s">
        <v>352</v>
      </c>
      <c r="AV30" s="183" t="s">
        <v>346</v>
      </c>
      <c r="AW30" s="350" t="s">
        <v>346</v>
      </c>
      <c r="AX30" s="2768"/>
      <c r="AY30" s="42" t="s">
        <v>352</v>
      </c>
      <c r="AZ30" s="707" t="s">
        <v>170</v>
      </c>
      <c r="BA30" s="32" t="s">
        <v>352</v>
      </c>
      <c r="BB30" s="32" t="s">
        <v>352</v>
      </c>
      <c r="BC30" s="42" t="s">
        <v>352</v>
      </c>
      <c r="BD30" s="183" t="s">
        <v>346</v>
      </c>
      <c r="BE30" s="183" t="s">
        <v>346</v>
      </c>
      <c r="BF30" s="183" t="s">
        <v>346</v>
      </c>
      <c r="BG30" s="183" t="s">
        <v>346</v>
      </c>
      <c r="BH30" s="183" t="s">
        <v>353</v>
      </c>
      <c r="BI30" s="2816" t="s">
        <v>346</v>
      </c>
      <c r="BJ30" s="2817"/>
      <c r="BK30" s="2817"/>
      <c r="BL30" s="2817"/>
      <c r="BM30" s="2818"/>
    </row>
    <row r="31" spans="1:65" ht="13" thickTop="1" x14ac:dyDescent="0.25">
      <c r="A31" s="59">
        <v>1</v>
      </c>
      <c r="B31" s="2678"/>
      <c r="C31" s="59">
        <v>1</v>
      </c>
      <c r="D31" s="207"/>
      <c r="E31" s="193"/>
      <c r="F31" s="193"/>
      <c r="G31" s="29"/>
      <c r="H31" s="29"/>
      <c r="I31" s="1802"/>
      <c r="J31" s="29"/>
      <c r="K31" s="29"/>
      <c r="L31" s="193"/>
      <c r="M31" s="46"/>
      <c r="N31" s="30"/>
      <c r="O31" s="29"/>
      <c r="P31" s="29"/>
      <c r="Q31" s="29"/>
      <c r="R31" s="29"/>
      <c r="S31" s="29"/>
      <c r="T31" s="29"/>
      <c r="U31" s="29"/>
      <c r="V31" s="28"/>
      <c r="W31" s="28"/>
      <c r="X31" s="28"/>
      <c r="Y31" s="28"/>
      <c r="Z31" s="28"/>
      <c r="AA31" s="28"/>
      <c r="AB31" s="28"/>
      <c r="AC31" s="59">
        <v>1</v>
      </c>
      <c r="AD31" s="30"/>
      <c r="AE31" s="192"/>
      <c r="AF31" s="29"/>
      <c r="AG31" s="29"/>
      <c r="AH31" s="29"/>
      <c r="AI31" s="29"/>
      <c r="AJ31" s="29"/>
      <c r="AK31" s="29"/>
      <c r="AL31" s="59">
        <v>1</v>
      </c>
      <c r="AM31" s="29"/>
      <c r="AN31" s="29"/>
      <c r="AO31" s="29"/>
      <c r="AP31" s="1713"/>
      <c r="AQ31" s="29"/>
      <c r="AR31" s="193"/>
      <c r="AS31" s="29"/>
      <c r="AT31" s="29"/>
      <c r="AU31" s="29"/>
      <c r="AV31" s="29"/>
      <c r="AW31" s="29"/>
      <c r="AX31" s="59">
        <v>1</v>
      </c>
      <c r="AY31" s="29"/>
      <c r="AZ31" s="27"/>
      <c r="BA31" s="29"/>
      <c r="BB31" s="29"/>
      <c r="BC31" s="192"/>
      <c r="BD31" s="29"/>
      <c r="BE31" s="29"/>
      <c r="BF31" s="29"/>
      <c r="BG31" s="29"/>
      <c r="BH31" s="29"/>
      <c r="BI31" s="29"/>
      <c r="BJ31" s="29"/>
      <c r="BK31" s="29"/>
      <c r="BL31" s="29"/>
      <c r="BM31" s="29"/>
    </row>
    <row r="32" spans="1:65" x14ac:dyDescent="0.35">
      <c r="A32" s="60">
        <v>2</v>
      </c>
      <c r="B32" s="2679"/>
      <c r="C32" s="60">
        <v>2</v>
      </c>
      <c r="D32" s="208"/>
      <c r="E32" s="195"/>
      <c r="F32" s="195"/>
      <c r="G32" s="25"/>
      <c r="H32" s="25"/>
      <c r="I32" s="352"/>
      <c r="J32" s="25"/>
      <c r="K32" s="25"/>
      <c r="L32" s="195"/>
      <c r="M32" s="47"/>
      <c r="N32" s="26"/>
      <c r="O32" s="25"/>
      <c r="P32" s="25"/>
      <c r="Q32" s="25"/>
      <c r="R32" s="25"/>
      <c r="S32" s="25"/>
      <c r="T32" s="25"/>
      <c r="U32" s="25"/>
      <c r="V32" s="25"/>
      <c r="W32" s="25"/>
      <c r="X32" s="25"/>
      <c r="Y32" s="25"/>
      <c r="Z32" s="25"/>
      <c r="AA32" s="25"/>
      <c r="AB32" s="25"/>
      <c r="AC32" s="60">
        <v>2</v>
      </c>
      <c r="AD32" s="26"/>
      <c r="AE32" s="25"/>
      <c r="AF32" s="25"/>
      <c r="AG32" s="25"/>
      <c r="AH32" s="196"/>
      <c r="AI32" s="25"/>
      <c r="AJ32" s="196"/>
      <c r="AK32" s="196"/>
      <c r="AL32" s="60">
        <v>2</v>
      </c>
      <c r="AM32" s="196"/>
      <c r="AN32" s="25"/>
      <c r="AO32" s="25"/>
      <c r="AP32" s="1714"/>
      <c r="AQ32" s="25"/>
      <c r="AR32" s="195"/>
      <c r="AS32" s="25"/>
      <c r="AT32" s="25"/>
      <c r="AU32" s="25"/>
      <c r="AV32" s="196"/>
      <c r="AW32" s="196"/>
      <c r="AX32" s="60">
        <v>2</v>
      </c>
      <c r="AY32" s="25"/>
      <c r="AZ32" s="27"/>
      <c r="BA32" s="25"/>
      <c r="BB32" s="25"/>
      <c r="BC32" s="194"/>
      <c r="BD32" s="196"/>
      <c r="BE32" s="196"/>
      <c r="BF32" s="196"/>
      <c r="BG32" s="196"/>
      <c r="BH32" s="196"/>
      <c r="BI32" s="196"/>
      <c r="BJ32" s="196"/>
      <c r="BK32" s="196"/>
      <c r="BL32" s="196"/>
      <c r="BM32" s="196"/>
    </row>
    <row r="33" spans="1:65" x14ac:dyDescent="0.35">
      <c r="A33" s="61">
        <v>3</v>
      </c>
      <c r="B33" s="2680"/>
      <c r="C33" s="61">
        <v>3</v>
      </c>
      <c r="D33" s="209"/>
      <c r="E33" s="198"/>
      <c r="F33" s="198"/>
      <c r="G33" s="19"/>
      <c r="H33" s="19"/>
      <c r="I33" s="377"/>
      <c r="J33" s="19"/>
      <c r="K33" s="19"/>
      <c r="L33" s="198"/>
      <c r="M33" s="48"/>
      <c r="N33" s="20"/>
      <c r="O33" s="19"/>
      <c r="P33" s="19"/>
      <c r="Q33" s="19"/>
      <c r="R33" s="19"/>
      <c r="S33" s="19"/>
      <c r="T33" s="19"/>
      <c r="U33" s="19"/>
      <c r="V33" s="19"/>
      <c r="W33" s="19"/>
      <c r="X33" s="19"/>
      <c r="Y33" s="19"/>
      <c r="Z33" s="19"/>
      <c r="AA33" s="19"/>
      <c r="AB33" s="19"/>
      <c r="AC33" s="61">
        <v>3</v>
      </c>
      <c r="AD33" s="20"/>
      <c r="AE33" s="19"/>
      <c r="AF33" s="19"/>
      <c r="AG33" s="19"/>
      <c r="AH33" s="199"/>
      <c r="AI33" s="19"/>
      <c r="AJ33" s="199"/>
      <c r="AK33" s="199"/>
      <c r="AL33" s="61">
        <v>3</v>
      </c>
      <c r="AM33" s="199"/>
      <c r="AN33" s="19"/>
      <c r="AO33" s="19"/>
      <c r="AP33" s="1715"/>
      <c r="AQ33" s="19"/>
      <c r="AR33" s="198"/>
      <c r="AS33" s="19"/>
      <c r="AT33" s="19"/>
      <c r="AU33" s="19"/>
      <c r="AV33" s="199"/>
      <c r="AW33" s="199"/>
      <c r="AX33" s="61">
        <v>3</v>
      </c>
      <c r="AY33" s="19"/>
      <c r="AZ33" s="21"/>
      <c r="BA33" s="19"/>
      <c r="BB33" s="19"/>
      <c r="BC33" s="197"/>
      <c r="BD33" s="199"/>
      <c r="BE33" s="199"/>
      <c r="BF33" s="199"/>
      <c r="BG33" s="199"/>
      <c r="BH33" s="199"/>
      <c r="BI33" s="199"/>
      <c r="BJ33" s="199"/>
      <c r="BK33" s="199"/>
      <c r="BL33" s="199"/>
      <c r="BM33" s="199"/>
    </row>
    <row r="34" spans="1:65" x14ac:dyDescent="0.35">
      <c r="A34" s="61">
        <v>4</v>
      </c>
      <c r="B34" s="2680"/>
      <c r="C34" s="61">
        <v>4</v>
      </c>
      <c r="D34" s="209"/>
      <c r="E34" s="198"/>
      <c r="F34" s="198"/>
      <c r="G34" s="19"/>
      <c r="H34" s="19"/>
      <c r="I34" s="377"/>
      <c r="J34" s="19"/>
      <c r="K34" s="19"/>
      <c r="L34" s="198"/>
      <c r="M34" s="48"/>
      <c r="N34" s="20"/>
      <c r="O34" s="19"/>
      <c r="P34" s="19"/>
      <c r="Q34" s="19"/>
      <c r="R34" s="19"/>
      <c r="S34" s="19"/>
      <c r="T34" s="19"/>
      <c r="U34" s="19"/>
      <c r="V34" s="19"/>
      <c r="W34" s="19"/>
      <c r="X34" s="19"/>
      <c r="Y34" s="19"/>
      <c r="Z34" s="19"/>
      <c r="AA34" s="19"/>
      <c r="AB34" s="19"/>
      <c r="AC34" s="61">
        <v>4</v>
      </c>
      <c r="AD34" s="20"/>
      <c r="AE34" s="19"/>
      <c r="AF34" s="19"/>
      <c r="AG34" s="19"/>
      <c r="AH34" s="199"/>
      <c r="AI34" s="19"/>
      <c r="AJ34" s="199"/>
      <c r="AK34" s="199"/>
      <c r="AL34" s="61">
        <v>4</v>
      </c>
      <c r="AM34" s="199"/>
      <c r="AN34" s="19"/>
      <c r="AO34" s="1707"/>
      <c r="AP34" s="1715"/>
      <c r="AQ34" s="19"/>
      <c r="AR34" s="198"/>
      <c r="AS34" s="19"/>
      <c r="AT34" s="19"/>
      <c r="AU34" s="19"/>
      <c r="AV34" s="199"/>
      <c r="AW34" s="199"/>
      <c r="AX34" s="61">
        <v>4</v>
      </c>
      <c r="AY34" s="19"/>
      <c r="AZ34" s="21"/>
      <c r="BA34" s="19"/>
      <c r="BB34" s="19"/>
      <c r="BC34" s="197"/>
      <c r="BD34" s="199"/>
      <c r="BE34" s="199"/>
      <c r="BF34" s="199"/>
      <c r="BG34" s="199"/>
      <c r="BH34" s="199"/>
      <c r="BI34" s="199"/>
      <c r="BJ34" s="199"/>
      <c r="BK34" s="199"/>
      <c r="BL34" s="199"/>
      <c r="BM34" s="199"/>
    </row>
    <row r="35" spans="1:65" ht="16" thickBot="1" x14ac:dyDescent="0.4">
      <c r="A35" s="62">
        <v>5</v>
      </c>
      <c r="B35" s="2681"/>
      <c r="C35" s="62">
        <v>5</v>
      </c>
      <c r="D35" s="210"/>
      <c r="E35" s="201"/>
      <c r="F35" s="201"/>
      <c r="G35" s="49"/>
      <c r="H35" s="49"/>
      <c r="I35" s="370"/>
      <c r="J35" s="49"/>
      <c r="K35" s="49"/>
      <c r="L35" s="201"/>
      <c r="M35" s="50"/>
      <c r="N35" s="51"/>
      <c r="O35" s="49"/>
      <c r="P35" s="49"/>
      <c r="Q35" s="49"/>
      <c r="R35" s="49"/>
      <c r="S35" s="49"/>
      <c r="T35" s="49"/>
      <c r="U35" s="49"/>
      <c r="V35" s="49"/>
      <c r="W35" s="49"/>
      <c r="X35" s="49"/>
      <c r="Y35" s="49"/>
      <c r="Z35" s="49"/>
      <c r="AA35" s="49"/>
      <c r="AB35" s="49"/>
      <c r="AC35" s="62">
        <v>5</v>
      </c>
      <c r="AD35" s="51"/>
      <c r="AE35" s="49"/>
      <c r="AF35" s="49"/>
      <c r="AG35" s="49"/>
      <c r="AH35" s="743"/>
      <c r="AI35" s="49"/>
      <c r="AJ35" s="743"/>
      <c r="AK35" s="743"/>
      <c r="AL35" s="62">
        <v>5</v>
      </c>
      <c r="AM35" s="743"/>
      <c r="AN35" s="49"/>
      <c r="AO35" s="743"/>
      <c r="AP35" s="1716"/>
      <c r="AQ35" s="49"/>
      <c r="AR35" s="201"/>
      <c r="AS35" s="49"/>
      <c r="AT35" s="49"/>
      <c r="AU35" s="49"/>
      <c r="AV35" s="743"/>
      <c r="AW35" s="743"/>
      <c r="AX35" s="62">
        <v>5</v>
      </c>
      <c r="AY35" s="49"/>
      <c r="AZ35" s="52"/>
      <c r="BA35" s="49"/>
      <c r="BB35" s="49"/>
      <c r="BC35" s="200"/>
      <c r="BD35" s="743"/>
      <c r="BE35" s="743"/>
      <c r="BF35" s="743"/>
      <c r="BG35" s="743"/>
      <c r="BH35" s="743"/>
      <c r="BI35" s="743"/>
      <c r="BJ35" s="743"/>
      <c r="BK35" s="743"/>
      <c r="BL35" s="743"/>
      <c r="BM35" s="743"/>
    </row>
    <row r="36" spans="1:65" ht="16" thickTop="1" x14ac:dyDescent="0.35">
      <c r="A36" s="63">
        <v>6</v>
      </c>
      <c r="B36" s="2682"/>
      <c r="C36" s="63">
        <v>6</v>
      </c>
      <c r="D36" s="211"/>
      <c r="E36" s="54"/>
      <c r="F36" s="54"/>
      <c r="G36" s="53"/>
      <c r="H36" s="53"/>
      <c r="I36" s="302"/>
      <c r="J36" s="53"/>
      <c r="K36" s="53"/>
      <c r="L36" s="54"/>
      <c r="M36" s="54"/>
      <c r="N36" s="53"/>
      <c r="O36" s="53"/>
      <c r="P36" s="53"/>
      <c r="Q36" s="53"/>
      <c r="R36" s="53"/>
      <c r="S36" s="53"/>
      <c r="T36" s="53"/>
      <c r="U36" s="53"/>
      <c r="V36" s="55"/>
      <c r="W36" s="55"/>
      <c r="X36" s="55"/>
      <c r="Y36" s="55"/>
      <c r="Z36" s="55"/>
      <c r="AA36" s="55"/>
      <c r="AB36" s="55"/>
      <c r="AC36" s="63">
        <v>6</v>
      </c>
      <c r="AD36" s="53"/>
      <c r="AE36" s="53"/>
      <c r="AF36" s="53"/>
      <c r="AG36" s="53"/>
      <c r="AH36" s="744"/>
      <c r="AI36" s="53"/>
      <c r="AJ36" s="744"/>
      <c r="AK36" s="744"/>
      <c r="AL36" s="63">
        <v>6</v>
      </c>
      <c r="AM36" s="744"/>
      <c r="AN36" s="53"/>
      <c r="AO36" s="744"/>
      <c r="AP36" s="1565"/>
      <c r="AQ36" s="53"/>
      <c r="AR36" s="54"/>
      <c r="AS36" s="53"/>
      <c r="AT36" s="53"/>
      <c r="AU36" s="53"/>
      <c r="AV36" s="744"/>
      <c r="AW36" s="744"/>
      <c r="AX36" s="63">
        <v>6</v>
      </c>
      <c r="AY36" s="53"/>
      <c r="AZ36" s="203"/>
      <c r="BA36" s="53"/>
      <c r="BB36" s="53"/>
      <c r="BC36" s="202"/>
      <c r="BD36" s="744"/>
      <c r="BE36" s="744"/>
      <c r="BF36" s="744"/>
      <c r="BG36" s="744"/>
      <c r="BH36" s="744"/>
      <c r="BI36" s="744"/>
      <c r="BJ36" s="744"/>
      <c r="BK36" s="744"/>
      <c r="BL36" s="744"/>
      <c r="BM36" s="744"/>
    </row>
    <row r="37" spans="1:65" x14ac:dyDescent="0.35">
      <c r="A37" s="64">
        <v>7</v>
      </c>
      <c r="B37" s="2683"/>
      <c r="C37" s="64">
        <v>7</v>
      </c>
      <c r="D37" s="212"/>
      <c r="E37" s="23"/>
      <c r="F37" s="23"/>
      <c r="G37" s="22"/>
      <c r="H37" s="22"/>
      <c r="I37" s="320"/>
      <c r="J37" s="22"/>
      <c r="K37" s="22"/>
      <c r="L37" s="23"/>
      <c r="M37" s="23"/>
      <c r="N37" s="22"/>
      <c r="O37" s="22"/>
      <c r="P37" s="22"/>
      <c r="Q37" s="22"/>
      <c r="R37" s="22"/>
      <c r="S37" s="22"/>
      <c r="T37" s="22"/>
      <c r="U37" s="22"/>
      <c r="V37" s="22"/>
      <c r="W37" s="22"/>
      <c r="X37" s="22"/>
      <c r="Y37" s="22"/>
      <c r="Z37" s="22"/>
      <c r="AA37" s="22"/>
      <c r="AB37" s="22"/>
      <c r="AC37" s="64">
        <v>7</v>
      </c>
      <c r="AD37" s="22"/>
      <c r="AE37" s="22"/>
      <c r="AF37" s="22"/>
      <c r="AG37" s="22"/>
      <c r="AH37" s="199"/>
      <c r="AI37" s="22"/>
      <c r="AJ37" s="199"/>
      <c r="AK37" s="199"/>
      <c r="AL37" s="64">
        <v>7</v>
      </c>
      <c r="AM37" s="199"/>
      <c r="AN37" s="22"/>
      <c r="AO37" s="199"/>
      <c r="AP37" s="1708"/>
      <c r="AQ37" s="22"/>
      <c r="AR37" s="23"/>
      <c r="AS37" s="22"/>
      <c r="AT37" s="22"/>
      <c r="AU37" s="22"/>
      <c r="AV37" s="199"/>
      <c r="AW37" s="199"/>
      <c r="AX37" s="64">
        <v>7</v>
      </c>
      <c r="AY37" s="22"/>
      <c r="AZ37" s="24"/>
      <c r="BA37" s="22"/>
      <c r="BB37" s="22"/>
      <c r="BC37" s="204"/>
      <c r="BD37" s="199"/>
      <c r="BE37" s="199"/>
      <c r="BF37" s="199"/>
      <c r="BG37" s="199"/>
      <c r="BH37" s="199"/>
      <c r="BI37" s="199"/>
      <c r="BJ37" s="199"/>
      <c r="BK37" s="199"/>
      <c r="BL37" s="199"/>
      <c r="BM37" s="199"/>
    </row>
    <row r="38" spans="1:65" x14ac:dyDescent="0.35">
      <c r="A38" s="64">
        <v>8</v>
      </c>
      <c r="B38" s="2683"/>
      <c r="C38" s="64">
        <v>8</v>
      </c>
      <c r="D38" s="212"/>
      <c r="E38" s="23"/>
      <c r="F38" s="23"/>
      <c r="G38" s="22"/>
      <c r="H38" s="22"/>
      <c r="I38" s="320"/>
      <c r="J38" s="22"/>
      <c r="K38" s="22"/>
      <c r="L38" s="23"/>
      <c r="M38" s="23"/>
      <c r="N38" s="22"/>
      <c r="O38" s="22"/>
      <c r="P38" s="22"/>
      <c r="Q38" s="22"/>
      <c r="R38" s="22"/>
      <c r="S38" s="22"/>
      <c r="T38" s="22"/>
      <c r="U38" s="22"/>
      <c r="V38" s="22"/>
      <c r="W38" s="22"/>
      <c r="X38" s="22"/>
      <c r="Y38" s="22"/>
      <c r="Z38" s="22"/>
      <c r="AA38" s="22"/>
      <c r="AB38" s="22"/>
      <c r="AC38" s="64">
        <v>8</v>
      </c>
      <c r="AD38" s="22"/>
      <c r="AE38" s="22"/>
      <c r="AF38" s="22"/>
      <c r="AG38" s="22"/>
      <c r="AH38" s="199"/>
      <c r="AI38" s="22"/>
      <c r="AJ38" s="199"/>
      <c r="AK38" s="199"/>
      <c r="AL38" s="64">
        <v>8</v>
      </c>
      <c r="AM38" s="199"/>
      <c r="AN38" s="22"/>
      <c r="AO38" s="199"/>
      <c r="AP38" s="1708"/>
      <c r="AQ38" s="22"/>
      <c r="AR38" s="23"/>
      <c r="AS38" s="22"/>
      <c r="AT38" s="22"/>
      <c r="AU38" s="22"/>
      <c r="AV38" s="199"/>
      <c r="AW38" s="199"/>
      <c r="AX38" s="64">
        <v>8</v>
      </c>
      <c r="AY38" s="22"/>
      <c r="AZ38" s="24"/>
      <c r="BA38" s="22"/>
      <c r="BB38" s="22"/>
      <c r="BC38" s="204"/>
      <c r="BD38" s="199"/>
      <c r="BE38" s="199"/>
      <c r="BF38" s="199"/>
      <c r="BG38" s="199"/>
      <c r="BH38" s="199"/>
      <c r="BI38" s="199"/>
      <c r="BJ38" s="199"/>
      <c r="BK38" s="199"/>
      <c r="BL38" s="199"/>
      <c r="BM38" s="199"/>
    </row>
    <row r="39" spans="1:65" x14ac:dyDescent="0.35">
      <c r="A39" s="64">
        <v>9</v>
      </c>
      <c r="B39" s="2683"/>
      <c r="C39" s="64">
        <v>9</v>
      </c>
      <c r="D39" s="212"/>
      <c r="E39" s="23"/>
      <c r="F39" s="23"/>
      <c r="G39" s="22"/>
      <c r="H39" s="22"/>
      <c r="I39" s="320"/>
      <c r="J39" s="22"/>
      <c r="K39" s="22"/>
      <c r="L39" s="23"/>
      <c r="M39" s="23"/>
      <c r="N39" s="22"/>
      <c r="O39" s="22"/>
      <c r="P39" s="22"/>
      <c r="Q39" s="22"/>
      <c r="R39" s="22"/>
      <c r="S39" s="22"/>
      <c r="T39" s="22"/>
      <c r="U39" s="22"/>
      <c r="V39" s="22"/>
      <c r="W39" s="22"/>
      <c r="X39" s="22"/>
      <c r="Y39" s="22"/>
      <c r="Z39" s="22"/>
      <c r="AA39" s="22"/>
      <c r="AB39" s="22"/>
      <c r="AC39" s="64">
        <v>9</v>
      </c>
      <c r="AD39" s="22"/>
      <c r="AE39" s="22"/>
      <c r="AF39" s="22"/>
      <c r="AG39" s="22"/>
      <c r="AH39" s="199"/>
      <c r="AI39" s="22"/>
      <c r="AJ39" s="199"/>
      <c r="AK39" s="199"/>
      <c r="AL39" s="64">
        <v>9</v>
      </c>
      <c r="AM39" s="199"/>
      <c r="AN39" s="22"/>
      <c r="AO39" s="199"/>
      <c r="AP39" s="1708"/>
      <c r="AQ39" s="22"/>
      <c r="AR39" s="23"/>
      <c r="AS39" s="22"/>
      <c r="AT39" s="22"/>
      <c r="AU39" s="22"/>
      <c r="AV39" s="199"/>
      <c r="AW39" s="199"/>
      <c r="AX39" s="64">
        <v>9</v>
      </c>
      <c r="AY39" s="22"/>
      <c r="AZ39" s="24"/>
      <c r="BA39" s="22"/>
      <c r="BB39" s="22"/>
      <c r="BC39" s="204"/>
      <c r="BD39" s="199"/>
      <c r="BE39" s="199"/>
      <c r="BF39" s="199"/>
      <c r="BG39" s="199"/>
      <c r="BH39" s="199"/>
      <c r="BI39" s="199"/>
      <c r="BJ39" s="199"/>
      <c r="BK39" s="199"/>
      <c r="BL39" s="199"/>
      <c r="BM39" s="199"/>
    </row>
    <row r="40" spans="1:65" ht="16" thickBot="1" x14ac:dyDescent="0.4">
      <c r="A40" s="65">
        <v>10</v>
      </c>
      <c r="B40" s="2684"/>
      <c r="C40" s="65">
        <v>10</v>
      </c>
      <c r="D40" s="213"/>
      <c r="E40" s="57"/>
      <c r="F40" s="57"/>
      <c r="G40" s="56"/>
      <c r="H40" s="56"/>
      <c r="I40" s="282"/>
      <c r="J40" s="56"/>
      <c r="K40" s="56"/>
      <c r="L40" s="57"/>
      <c r="M40" s="57"/>
      <c r="N40" s="56"/>
      <c r="O40" s="56"/>
      <c r="P40" s="56"/>
      <c r="Q40" s="56"/>
      <c r="R40" s="56"/>
      <c r="S40" s="56"/>
      <c r="T40" s="56"/>
      <c r="U40" s="56"/>
      <c r="V40" s="56"/>
      <c r="W40" s="56"/>
      <c r="X40" s="56"/>
      <c r="Y40" s="56"/>
      <c r="Z40" s="56"/>
      <c r="AA40" s="56"/>
      <c r="AB40" s="56"/>
      <c r="AC40" s="65">
        <v>10</v>
      </c>
      <c r="AD40" s="56"/>
      <c r="AE40" s="56"/>
      <c r="AF40" s="56"/>
      <c r="AG40" s="56"/>
      <c r="AH40" s="743"/>
      <c r="AI40" s="56"/>
      <c r="AJ40" s="743"/>
      <c r="AK40" s="743"/>
      <c r="AL40" s="65">
        <v>10</v>
      </c>
      <c r="AM40" s="743"/>
      <c r="AN40" s="56"/>
      <c r="AO40" s="743"/>
      <c r="AP40" s="1566"/>
      <c r="AQ40" s="56"/>
      <c r="AR40" s="57"/>
      <c r="AS40" s="56"/>
      <c r="AT40" s="56"/>
      <c r="AU40" s="56"/>
      <c r="AV40" s="743"/>
      <c r="AW40" s="743"/>
      <c r="AX40" s="65">
        <v>10</v>
      </c>
      <c r="AY40" s="56"/>
      <c r="AZ40" s="206"/>
      <c r="BA40" s="56"/>
      <c r="BB40" s="56"/>
      <c r="BC40" s="205"/>
      <c r="BD40" s="743"/>
      <c r="BE40" s="743"/>
      <c r="BF40" s="743"/>
      <c r="BG40" s="743"/>
      <c r="BH40" s="743"/>
      <c r="BI40" s="743"/>
      <c r="BJ40" s="743"/>
      <c r="BK40" s="743"/>
      <c r="BL40" s="743"/>
      <c r="BM40" s="743"/>
    </row>
    <row r="41" spans="1:65" ht="16" thickTop="1" x14ac:dyDescent="0.35">
      <c r="A41" s="59">
        <v>11</v>
      </c>
      <c r="B41" s="2678"/>
      <c r="C41" s="59">
        <v>11</v>
      </c>
      <c r="D41" s="207"/>
      <c r="E41" s="193"/>
      <c r="F41" s="193"/>
      <c r="G41" s="29"/>
      <c r="H41" s="29"/>
      <c r="I41" s="1802"/>
      <c r="J41" s="29"/>
      <c r="K41" s="29"/>
      <c r="L41" s="193"/>
      <c r="M41" s="46"/>
      <c r="N41" s="30"/>
      <c r="O41" s="29"/>
      <c r="P41" s="29"/>
      <c r="Q41" s="29"/>
      <c r="R41" s="29"/>
      <c r="S41" s="29"/>
      <c r="T41" s="29"/>
      <c r="U41" s="29"/>
      <c r="V41" s="28"/>
      <c r="W41" s="28"/>
      <c r="X41" s="28"/>
      <c r="Y41" s="28"/>
      <c r="Z41" s="28"/>
      <c r="AA41" s="28"/>
      <c r="AB41" s="28"/>
      <c r="AC41" s="59">
        <v>11</v>
      </c>
      <c r="AD41" s="30"/>
      <c r="AE41" s="29"/>
      <c r="AF41" s="29"/>
      <c r="AG41" s="29"/>
      <c r="AH41" s="744"/>
      <c r="AI41" s="29"/>
      <c r="AJ41" s="744"/>
      <c r="AK41" s="744"/>
      <c r="AL41" s="59">
        <v>11</v>
      </c>
      <c r="AM41" s="744"/>
      <c r="AN41" s="29"/>
      <c r="AO41" s="744"/>
      <c r="AP41" s="1713"/>
      <c r="AQ41" s="29"/>
      <c r="AR41" s="193"/>
      <c r="AS41" s="29"/>
      <c r="AT41" s="29"/>
      <c r="AU41" s="29"/>
      <c r="AV41" s="744"/>
      <c r="AW41" s="744"/>
      <c r="AX41" s="59">
        <v>11</v>
      </c>
      <c r="AY41" s="29"/>
      <c r="AZ41" s="31"/>
      <c r="BA41" s="29"/>
      <c r="BB41" s="29"/>
      <c r="BC41" s="192"/>
      <c r="BD41" s="744"/>
      <c r="BE41" s="744"/>
      <c r="BF41" s="744"/>
      <c r="BG41" s="744"/>
      <c r="BH41" s="744"/>
      <c r="BI41" s="744"/>
      <c r="BJ41" s="744"/>
      <c r="BK41" s="744"/>
      <c r="BL41" s="744"/>
      <c r="BM41" s="744"/>
    </row>
    <row r="42" spans="1:65" x14ac:dyDescent="0.35">
      <c r="A42" s="61">
        <v>12</v>
      </c>
      <c r="B42" s="2680"/>
      <c r="C42" s="61">
        <v>12</v>
      </c>
      <c r="D42" s="209"/>
      <c r="E42" s="198"/>
      <c r="F42" s="198"/>
      <c r="G42" s="19"/>
      <c r="H42" s="19"/>
      <c r="I42" s="377"/>
      <c r="J42" s="19"/>
      <c r="K42" s="19"/>
      <c r="L42" s="198"/>
      <c r="M42" s="48"/>
      <c r="N42" s="20"/>
      <c r="O42" s="19"/>
      <c r="P42" s="19"/>
      <c r="Q42" s="19"/>
      <c r="R42" s="19"/>
      <c r="S42" s="19"/>
      <c r="T42" s="19"/>
      <c r="U42" s="19"/>
      <c r="V42" s="19"/>
      <c r="W42" s="19"/>
      <c r="X42" s="19"/>
      <c r="Y42" s="19"/>
      <c r="Z42" s="19"/>
      <c r="AA42" s="19"/>
      <c r="AB42" s="19"/>
      <c r="AC42" s="61">
        <v>12</v>
      </c>
      <c r="AD42" s="20"/>
      <c r="AE42" s="19"/>
      <c r="AF42" s="19"/>
      <c r="AG42" s="19"/>
      <c r="AH42" s="199"/>
      <c r="AI42" s="19"/>
      <c r="AJ42" s="199"/>
      <c r="AK42" s="199"/>
      <c r="AL42" s="61">
        <v>12</v>
      </c>
      <c r="AM42" s="199"/>
      <c r="AN42" s="19"/>
      <c r="AO42" s="199"/>
      <c r="AP42" s="1715"/>
      <c r="AQ42" s="19"/>
      <c r="AR42" s="198"/>
      <c r="AS42" s="19"/>
      <c r="AT42" s="19"/>
      <c r="AU42" s="19"/>
      <c r="AV42" s="199"/>
      <c r="AW42" s="199"/>
      <c r="AX42" s="61">
        <v>12</v>
      </c>
      <c r="AY42" s="19"/>
      <c r="AZ42" s="21"/>
      <c r="BA42" s="19"/>
      <c r="BB42" s="19"/>
      <c r="BC42" s="197"/>
      <c r="BD42" s="199"/>
      <c r="BE42" s="199"/>
      <c r="BF42" s="199"/>
      <c r="BG42" s="199"/>
      <c r="BH42" s="199"/>
      <c r="BI42" s="199"/>
      <c r="BJ42" s="199"/>
      <c r="BK42" s="199"/>
      <c r="BL42" s="199"/>
      <c r="BM42" s="199"/>
    </row>
    <row r="43" spans="1:65" x14ac:dyDescent="0.35">
      <c r="A43" s="61">
        <v>13</v>
      </c>
      <c r="B43" s="2680"/>
      <c r="C43" s="61">
        <v>13</v>
      </c>
      <c r="D43" s="209"/>
      <c r="E43" s="198"/>
      <c r="F43" s="198"/>
      <c r="G43" s="19"/>
      <c r="H43" s="19"/>
      <c r="I43" s="377"/>
      <c r="J43" s="19"/>
      <c r="K43" s="19"/>
      <c r="L43" s="198"/>
      <c r="M43" s="48"/>
      <c r="N43" s="20"/>
      <c r="O43" s="19"/>
      <c r="P43" s="19"/>
      <c r="Q43" s="19"/>
      <c r="R43" s="19"/>
      <c r="S43" s="19"/>
      <c r="T43" s="19"/>
      <c r="U43" s="19"/>
      <c r="V43" s="19"/>
      <c r="W43" s="19"/>
      <c r="X43" s="19"/>
      <c r="Y43" s="19"/>
      <c r="Z43" s="19"/>
      <c r="AA43" s="19"/>
      <c r="AB43" s="19"/>
      <c r="AC43" s="61">
        <v>13</v>
      </c>
      <c r="AD43" s="20"/>
      <c r="AE43" s="19"/>
      <c r="AF43" s="19"/>
      <c r="AG43" s="19"/>
      <c r="AH43" s="199"/>
      <c r="AI43" s="19"/>
      <c r="AJ43" s="199"/>
      <c r="AK43" s="199"/>
      <c r="AL43" s="61">
        <v>13</v>
      </c>
      <c r="AM43" s="199"/>
      <c r="AN43" s="19"/>
      <c r="AO43" s="199"/>
      <c r="AP43" s="1715"/>
      <c r="AQ43" s="19"/>
      <c r="AR43" s="198"/>
      <c r="AS43" s="19"/>
      <c r="AT43" s="19"/>
      <c r="AU43" s="19"/>
      <c r="AV43" s="199"/>
      <c r="AW43" s="199"/>
      <c r="AX43" s="61">
        <v>13</v>
      </c>
      <c r="AY43" s="19"/>
      <c r="AZ43" s="21"/>
      <c r="BA43" s="19"/>
      <c r="BB43" s="19"/>
      <c r="BC43" s="197"/>
      <c r="BD43" s="199"/>
      <c r="BE43" s="199"/>
      <c r="BF43" s="199"/>
      <c r="BG43" s="199"/>
      <c r="BH43" s="199"/>
      <c r="BI43" s="199"/>
      <c r="BJ43" s="199"/>
      <c r="BK43" s="199"/>
      <c r="BL43" s="199"/>
      <c r="BM43" s="199"/>
    </row>
    <row r="44" spans="1:65" x14ac:dyDescent="0.35">
      <c r="A44" s="61">
        <v>14</v>
      </c>
      <c r="B44" s="2680"/>
      <c r="C44" s="61">
        <v>14</v>
      </c>
      <c r="D44" s="209"/>
      <c r="E44" s="198"/>
      <c r="F44" s="198"/>
      <c r="G44" s="19"/>
      <c r="H44" s="19"/>
      <c r="I44" s="377"/>
      <c r="J44" s="19"/>
      <c r="K44" s="19"/>
      <c r="L44" s="198"/>
      <c r="M44" s="48"/>
      <c r="N44" s="20"/>
      <c r="O44" s="19"/>
      <c r="P44" s="19"/>
      <c r="Q44" s="19"/>
      <c r="R44" s="19"/>
      <c r="S44" s="19"/>
      <c r="T44" s="19"/>
      <c r="U44" s="19"/>
      <c r="V44" s="19"/>
      <c r="W44" s="19"/>
      <c r="X44" s="19"/>
      <c r="Y44" s="19"/>
      <c r="Z44" s="19"/>
      <c r="AA44" s="19"/>
      <c r="AB44" s="19"/>
      <c r="AC44" s="61">
        <v>14</v>
      </c>
      <c r="AD44" s="20"/>
      <c r="AE44" s="19"/>
      <c r="AF44" s="19"/>
      <c r="AG44" s="19"/>
      <c r="AH44" s="199"/>
      <c r="AI44" s="19"/>
      <c r="AJ44" s="199"/>
      <c r="AK44" s="199"/>
      <c r="AL44" s="61">
        <v>14</v>
      </c>
      <c r="AM44" s="199"/>
      <c r="AN44" s="19"/>
      <c r="AO44" s="199"/>
      <c r="AP44" s="1715"/>
      <c r="AQ44" s="19"/>
      <c r="AR44" s="198"/>
      <c r="AS44" s="19"/>
      <c r="AT44" s="19"/>
      <c r="AU44" s="19"/>
      <c r="AV44" s="199"/>
      <c r="AW44" s="199"/>
      <c r="AX44" s="61">
        <v>14</v>
      </c>
      <c r="AY44" s="19"/>
      <c r="AZ44" s="21"/>
      <c r="BA44" s="19"/>
      <c r="BB44" s="19"/>
      <c r="BC44" s="197"/>
      <c r="BD44" s="199"/>
      <c r="BE44" s="199"/>
      <c r="BF44" s="199"/>
      <c r="BG44" s="199"/>
      <c r="BH44" s="199"/>
      <c r="BI44" s="199"/>
      <c r="BJ44" s="199"/>
      <c r="BK44" s="199"/>
      <c r="BL44" s="199"/>
      <c r="BM44" s="199"/>
    </row>
    <row r="45" spans="1:65" x14ac:dyDescent="0.35">
      <c r="A45" s="61">
        <v>15</v>
      </c>
      <c r="B45" s="2680"/>
      <c r="C45" s="61">
        <v>15</v>
      </c>
      <c r="D45" s="209"/>
      <c r="E45" s="198"/>
      <c r="F45" s="198"/>
      <c r="G45" s="19"/>
      <c r="H45" s="19"/>
      <c r="I45" s="377"/>
      <c r="J45" s="19"/>
      <c r="K45" s="19"/>
      <c r="L45" s="198"/>
      <c r="M45" s="48"/>
      <c r="N45" s="20"/>
      <c r="O45" s="19"/>
      <c r="P45" s="19"/>
      <c r="Q45" s="19"/>
      <c r="R45" s="19"/>
      <c r="S45" s="19"/>
      <c r="T45" s="19"/>
      <c r="U45" s="19"/>
      <c r="V45" s="19"/>
      <c r="W45" s="19"/>
      <c r="X45" s="19"/>
      <c r="Y45" s="19"/>
      <c r="Z45" s="19"/>
      <c r="AA45" s="19"/>
      <c r="AB45" s="19"/>
      <c r="AC45" s="61">
        <v>15</v>
      </c>
      <c r="AD45" s="20"/>
      <c r="AE45" s="19"/>
      <c r="AF45" s="19"/>
      <c r="AG45" s="19"/>
      <c r="AH45" s="199"/>
      <c r="AI45" s="19"/>
      <c r="AJ45" s="199"/>
      <c r="AK45" s="199"/>
      <c r="AL45" s="61">
        <v>15</v>
      </c>
      <c r="AM45" s="199"/>
      <c r="AN45" s="19"/>
      <c r="AO45" s="199"/>
      <c r="AP45" s="1715"/>
      <c r="AQ45" s="19"/>
      <c r="AR45" s="198"/>
      <c r="AS45" s="19"/>
      <c r="AT45" s="19"/>
      <c r="AU45" s="19"/>
      <c r="AV45" s="199"/>
      <c r="AW45" s="199"/>
      <c r="AX45" s="61">
        <v>15</v>
      </c>
      <c r="AY45" s="19"/>
      <c r="AZ45" s="21"/>
      <c r="BA45" s="19"/>
      <c r="BB45" s="19"/>
      <c r="BC45" s="197"/>
      <c r="BD45" s="199"/>
      <c r="BE45" s="199"/>
      <c r="BF45" s="199"/>
      <c r="BG45" s="199"/>
      <c r="BH45" s="199"/>
      <c r="BI45" s="199"/>
      <c r="BJ45" s="199"/>
      <c r="BK45" s="199"/>
      <c r="BL45" s="199"/>
      <c r="BM45" s="199"/>
    </row>
    <row r="46" spans="1:65" x14ac:dyDescent="0.35">
      <c r="E46" s="2" t="s">
        <v>354</v>
      </c>
      <c r="F46" s="2" t="s">
        <v>355</v>
      </c>
      <c r="G46" s="2" t="s">
        <v>356</v>
      </c>
      <c r="I46" s="2" t="s">
        <v>357</v>
      </c>
      <c r="J46" s="2" t="s">
        <v>358</v>
      </c>
      <c r="L46" s="2" t="s">
        <v>359</v>
      </c>
      <c r="AV46" s="745"/>
      <c r="AW46" s="746"/>
      <c r="BD46" s="745"/>
      <c r="BE46" s="746"/>
      <c r="BF46" s="746"/>
      <c r="BG46" s="746"/>
      <c r="BH46" s="746"/>
      <c r="BI46" s="746"/>
    </row>
    <row r="47" spans="1:65" x14ac:dyDescent="0.35">
      <c r="L47" s="2" t="str">
        <f>CONCATENATE("&gt;&gt;", "Personne suivante")</f>
        <v>&gt;&gt;Personne suivante</v>
      </c>
    </row>
  </sheetData>
  <mergeCells count="109">
    <mergeCell ref="I5:I10"/>
    <mergeCell ref="J4:K4"/>
    <mergeCell ref="B5:B12"/>
    <mergeCell ref="G4:H4"/>
    <mergeCell ref="BK11:BK29"/>
    <mergeCell ref="AW10:AW11"/>
    <mergeCell ref="AP5:AP12"/>
    <mergeCell ref="AQ5:AQ10"/>
    <mergeCell ref="AR5:AR10"/>
    <mergeCell ref="AY5:AY10"/>
    <mergeCell ref="AU12:AU13"/>
    <mergeCell ref="AX4:AX30"/>
    <mergeCell ref="AT5:AT8"/>
    <mergeCell ref="AU5:AU8"/>
    <mergeCell ref="AV5:AV8"/>
    <mergeCell ref="AW5:AW9"/>
    <mergeCell ref="AU15:AU16"/>
    <mergeCell ref="AS5:AS9"/>
    <mergeCell ref="AW18:AW19"/>
    <mergeCell ref="AW20:AW22"/>
    <mergeCell ref="B27:B28"/>
    <mergeCell ref="AY14:AY15"/>
    <mergeCell ref="AW16:AW17"/>
    <mergeCell ref="AO5:AO7"/>
    <mergeCell ref="BJ11:BJ29"/>
    <mergeCell ref="BA19:BA23"/>
    <mergeCell ref="BE5:BE8"/>
    <mergeCell ref="BC13:BC14"/>
    <mergeCell ref="BC16:BC17"/>
    <mergeCell ref="BE16:BE17"/>
    <mergeCell ref="BE18:BE19"/>
    <mergeCell ref="BA5:BA9"/>
    <mergeCell ref="BB5:BB9"/>
    <mergeCell ref="BC5:BC7"/>
    <mergeCell ref="BD5:BD8"/>
    <mergeCell ref="BB14:BB15"/>
    <mergeCell ref="BF17:BF23"/>
    <mergeCell ref="J5:K7"/>
    <mergeCell ref="L5:L7"/>
    <mergeCell ref="L8:L28"/>
    <mergeCell ref="F5:F7"/>
    <mergeCell ref="F8:F28"/>
    <mergeCell ref="BH5:BH29"/>
    <mergeCell ref="BI5:BM9"/>
    <mergeCell ref="O8:Q11"/>
    <mergeCell ref="R8:S23"/>
    <mergeCell ref="AO8:AO29"/>
    <mergeCell ref="X9:AA29"/>
    <mergeCell ref="AW14:AW15"/>
    <mergeCell ref="BF5:BF11"/>
    <mergeCell ref="BG5:BG29"/>
    <mergeCell ref="BE14:BE15"/>
    <mergeCell ref="BF15:BF16"/>
    <mergeCell ref="AW12:AW13"/>
    <mergeCell ref="BB12:BB13"/>
    <mergeCell ref="BE12:BE13"/>
    <mergeCell ref="BE10:BE11"/>
    <mergeCell ref="AZ5:AZ10"/>
    <mergeCell ref="AW24:AW25"/>
    <mergeCell ref="BM11:BM29"/>
    <mergeCell ref="BL11:BL29"/>
    <mergeCell ref="AK5:AK11"/>
    <mergeCell ref="AN5:AN12"/>
    <mergeCell ref="AQ14:AQ15"/>
    <mergeCell ref="AM5:AM9"/>
    <mergeCell ref="BI4:BM4"/>
    <mergeCell ref="D5:D30"/>
    <mergeCell ref="M5:M8"/>
    <mergeCell ref="N5:N8"/>
    <mergeCell ref="O5:Q6"/>
    <mergeCell ref="R5:S7"/>
    <mergeCell ref="T5:T12"/>
    <mergeCell ref="U5:U11"/>
    <mergeCell ref="V5:V9"/>
    <mergeCell ref="AE5:AE9"/>
    <mergeCell ref="AG5:AG6"/>
    <mergeCell ref="AH5:AH6"/>
    <mergeCell ref="AI5:AI6"/>
    <mergeCell ref="AJ5:AJ11"/>
    <mergeCell ref="AF5:AF7"/>
    <mergeCell ref="BI11:BI29"/>
    <mergeCell ref="AZ19:AZ23"/>
    <mergeCell ref="AV18:AV19"/>
    <mergeCell ref="BI30:BM30"/>
    <mergeCell ref="E5:E8"/>
    <mergeCell ref="A4:A30"/>
    <mergeCell ref="C4:C30"/>
    <mergeCell ref="X4:AA4"/>
    <mergeCell ref="AC4:AC30"/>
    <mergeCell ref="AL4:AL30"/>
    <mergeCell ref="U16:U29"/>
    <mergeCell ref="N19:N20"/>
    <mergeCell ref="G5:H7"/>
    <mergeCell ref="N24:N25"/>
    <mergeCell ref="R24:S25"/>
    <mergeCell ref="N27:N28"/>
    <mergeCell ref="O28:Q28"/>
    <mergeCell ref="N21:N23"/>
    <mergeCell ref="W12:W13"/>
    <mergeCell ref="W5:W10"/>
    <mergeCell ref="X5:AA8"/>
    <mergeCell ref="AB5:AB10"/>
    <mergeCell ref="AD5:AD8"/>
    <mergeCell ref="AH27:AH29"/>
    <mergeCell ref="AI24:AI29"/>
    <mergeCell ref="G23:H25"/>
    <mergeCell ref="G28:H28"/>
    <mergeCell ref="G8:H10"/>
    <mergeCell ref="AF9:AF28"/>
  </mergeCells>
  <pageMargins left="0.314" right="0.314" top="0.11799999999999999" bottom="0.27500000000000002" header="0.157" footer="0.11799999999999999"/>
  <pageSetup scale="77" firstPageNumber="3" orientation="landscape" useFirstPageNumber="1" r:id="rId1"/>
  <headerFooter>
    <oddFooter>&amp;C&amp;P</oddFooter>
  </headerFooter>
  <colBreaks count="5" manualBreakCount="5">
    <brk id="2" max="1048575" man="1"/>
    <brk id="12" max="44" man="1"/>
    <brk id="28" max="1048575" man="1"/>
    <brk id="37" max="1048575" man="1"/>
    <brk id="49"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17"/>
  <sheetViews>
    <sheetView workbookViewId="0">
      <selection activeCell="AH29" sqref="AH29"/>
    </sheetView>
  </sheetViews>
  <sheetFormatPr defaultColWidth="8.81640625" defaultRowHeight="12.5" x14ac:dyDescent="0.25"/>
  <cols>
    <col min="1" max="1" width="8.81640625" customWidth="1"/>
    <col min="2" max="2" width="10.1796875" bestFit="1" customWidth="1"/>
    <col min="3" max="3" width="8.81640625" customWidth="1"/>
    <col min="4" max="4" width="15" bestFit="1" customWidth="1"/>
    <col min="5" max="5" width="8.81640625" customWidth="1"/>
    <col min="6" max="6" width="10.81640625" bestFit="1" customWidth="1"/>
    <col min="7" max="7" width="8.81640625" customWidth="1"/>
    <col min="8" max="8" width="19.1796875" bestFit="1" customWidth="1"/>
  </cols>
  <sheetData>
    <row r="1" spans="1:10" ht="15.5" x14ac:dyDescent="0.35">
      <c r="A1" s="944" t="s">
        <v>2569</v>
      </c>
    </row>
    <row r="2" spans="1:10" ht="15.5" x14ac:dyDescent="0.35">
      <c r="A2" s="944"/>
    </row>
    <row r="3" spans="1:10" ht="15.5" x14ac:dyDescent="0.35">
      <c r="A3" s="944"/>
    </row>
    <row r="4" spans="1:10" ht="15.5" x14ac:dyDescent="0.35">
      <c r="A4" s="944"/>
    </row>
    <row r="5" spans="1:10" ht="14" x14ac:dyDescent="0.3">
      <c r="A5" s="1484" t="s">
        <v>2570</v>
      </c>
      <c r="B5" s="1484" t="s">
        <v>2571</v>
      </c>
      <c r="C5" s="1484" t="s">
        <v>2570</v>
      </c>
      <c r="D5" s="1484" t="s">
        <v>2571</v>
      </c>
      <c r="E5" s="1484" t="s">
        <v>2570</v>
      </c>
      <c r="F5" s="1484" t="s">
        <v>2571</v>
      </c>
      <c r="G5" s="1484" t="s">
        <v>2570</v>
      </c>
      <c r="H5" s="1484" t="s">
        <v>2571</v>
      </c>
      <c r="I5" s="1484" t="s">
        <v>2570</v>
      </c>
      <c r="J5" s="1484" t="s">
        <v>2571</v>
      </c>
    </row>
    <row r="6" spans="1:10" ht="14" x14ac:dyDescent="0.3">
      <c r="A6" s="1483">
        <v>1</v>
      </c>
      <c r="B6" s="1483" t="s">
        <v>2572</v>
      </c>
      <c r="C6" s="1483">
        <v>13</v>
      </c>
      <c r="D6" s="1483" t="s">
        <v>2573</v>
      </c>
      <c r="E6" s="1483">
        <v>25</v>
      </c>
      <c r="F6" s="1483" t="s">
        <v>2574</v>
      </c>
      <c r="G6" s="1483">
        <v>37</v>
      </c>
      <c r="H6" s="1483" t="s">
        <v>2575</v>
      </c>
      <c r="I6" s="1483">
        <v>49</v>
      </c>
      <c r="J6" s="1483" t="s">
        <v>2576</v>
      </c>
    </row>
    <row r="7" spans="1:10" ht="14" x14ac:dyDescent="0.3">
      <c r="A7" s="1483">
        <v>2</v>
      </c>
      <c r="B7" s="1483" t="s">
        <v>2577</v>
      </c>
      <c r="C7" s="1483">
        <v>14</v>
      </c>
      <c r="D7" s="1483" t="s">
        <v>2578</v>
      </c>
      <c r="E7" s="1483">
        <v>26</v>
      </c>
      <c r="F7" s="1483" t="s">
        <v>2579</v>
      </c>
      <c r="G7" s="1483">
        <v>38</v>
      </c>
      <c r="H7" s="1483" t="s">
        <v>2580</v>
      </c>
      <c r="I7" s="1483">
        <v>50</v>
      </c>
      <c r="J7" s="1483" t="s">
        <v>1184</v>
      </c>
    </row>
    <row r="8" spans="1:10" ht="14" x14ac:dyDescent="0.3">
      <c r="A8" s="1483">
        <v>3</v>
      </c>
      <c r="B8" s="1483" t="s">
        <v>2581</v>
      </c>
      <c r="C8" s="1483">
        <v>15</v>
      </c>
      <c r="D8" s="1483" t="s">
        <v>2582</v>
      </c>
      <c r="E8" s="1483">
        <v>27</v>
      </c>
      <c r="F8" s="1483" t="s">
        <v>2583</v>
      </c>
      <c r="G8" s="1483">
        <v>39</v>
      </c>
      <c r="H8" s="1483" t="s">
        <v>2584</v>
      </c>
      <c r="I8" s="1483">
        <v>51</v>
      </c>
      <c r="J8" s="1483" t="s">
        <v>2585</v>
      </c>
    </row>
    <row r="9" spans="1:10" ht="14" x14ac:dyDescent="0.3">
      <c r="A9" s="1483">
        <v>4</v>
      </c>
      <c r="B9" s="1483" t="s">
        <v>2586</v>
      </c>
      <c r="C9" s="1483">
        <v>16</v>
      </c>
      <c r="D9" s="1483" t="s">
        <v>2587</v>
      </c>
      <c r="E9" s="1483">
        <v>28</v>
      </c>
      <c r="F9" s="1483" t="s">
        <v>2588</v>
      </c>
      <c r="G9" s="1483">
        <v>40</v>
      </c>
      <c r="H9" s="1483" t="s">
        <v>2589</v>
      </c>
      <c r="I9" s="1483">
        <v>52</v>
      </c>
      <c r="J9" s="1483" t="s">
        <v>2590</v>
      </c>
    </row>
    <row r="10" spans="1:10" ht="14" x14ac:dyDescent="0.3">
      <c r="A10" s="1483">
        <v>5</v>
      </c>
      <c r="B10" s="1483" t="s">
        <v>2591</v>
      </c>
      <c r="C10" s="1483">
        <v>17</v>
      </c>
      <c r="D10" s="1483" t="s">
        <v>2592</v>
      </c>
      <c r="E10" s="1483">
        <v>29</v>
      </c>
      <c r="F10" s="1483" t="s">
        <v>2593</v>
      </c>
      <c r="G10" s="1483">
        <v>41</v>
      </c>
      <c r="H10" s="1483" t="s">
        <v>2594</v>
      </c>
      <c r="I10" s="1483">
        <v>53</v>
      </c>
      <c r="J10" s="1483" t="s">
        <v>2595</v>
      </c>
    </row>
    <row r="11" spans="1:10" ht="14" x14ac:dyDescent="0.3">
      <c r="A11" s="1483">
        <v>6</v>
      </c>
      <c r="B11" s="1483" t="s">
        <v>2596</v>
      </c>
      <c r="C11" s="1483">
        <v>18</v>
      </c>
      <c r="D11" s="1483" t="s">
        <v>2597</v>
      </c>
      <c r="E11" s="1483">
        <v>30</v>
      </c>
      <c r="F11" s="1483" t="s">
        <v>2598</v>
      </c>
      <c r="G11" s="1483">
        <v>42</v>
      </c>
      <c r="H11" s="1483" t="s">
        <v>2599</v>
      </c>
      <c r="I11" s="1483">
        <v>54</v>
      </c>
      <c r="J11" s="1483" t="s">
        <v>2600</v>
      </c>
    </row>
    <row r="12" spans="1:10" ht="14" x14ac:dyDescent="0.3">
      <c r="A12" s="1483">
        <v>7</v>
      </c>
      <c r="B12" s="1483" t="s">
        <v>2601</v>
      </c>
      <c r="C12" s="1483">
        <v>19</v>
      </c>
      <c r="D12" s="1483" t="s">
        <v>2602</v>
      </c>
      <c r="E12" s="1483">
        <v>31</v>
      </c>
      <c r="F12" s="1483" t="s">
        <v>2603</v>
      </c>
      <c r="G12" s="1483">
        <v>43</v>
      </c>
      <c r="H12" s="1483" t="s">
        <v>2604</v>
      </c>
      <c r="I12" s="1483">
        <v>55</v>
      </c>
      <c r="J12" s="1483" t="s">
        <v>2605</v>
      </c>
    </row>
    <row r="13" spans="1:10" ht="14" x14ac:dyDescent="0.3">
      <c r="A13" s="1483">
        <v>8</v>
      </c>
      <c r="B13" s="1483" t="s">
        <v>2606</v>
      </c>
      <c r="C13" s="1483">
        <v>20</v>
      </c>
      <c r="D13" s="1483" t="s">
        <v>2607</v>
      </c>
      <c r="E13" s="1483">
        <v>32</v>
      </c>
      <c r="F13" s="1483" t="s">
        <v>2608</v>
      </c>
      <c r="G13" s="1483">
        <v>44</v>
      </c>
      <c r="H13" s="1483" t="s">
        <v>2609</v>
      </c>
      <c r="I13" s="1483">
        <v>55</v>
      </c>
      <c r="J13" s="1483" t="s">
        <v>2610</v>
      </c>
    </row>
    <row r="14" spans="1:10" ht="14" x14ac:dyDescent="0.3">
      <c r="A14" s="1483">
        <v>9</v>
      </c>
      <c r="B14" s="1483" t="s">
        <v>2611</v>
      </c>
      <c r="C14" s="1483">
        <v>21</v>
      </c>
      <c r="D14" s="1483" t="s">
        <v>2612</v>
      </c>
      <c r="E14" s="1483">
        <v>33</v>
      </c>
      <c r="F14" s="1483" t="s">
        <v>2613</v>
      </c>
      <c r="G14" s="1483">
        <v>45</v>
      </c>
      <c r="H14" s="1483" t="s">
        <v>2614</v>
      </c>
      <c r="I14" s="1483"/>
      <c r="J14" s="1483"/>
    </row>
    <row r="15" spans="1:10" ht="14" x14ac:dyDescent="0.3">
      <c r="A15" s="1483">
        <v>10</v>
      </c>
      <c r="B15" s="1483" t="s">
        <v>2615</v>
      </c>
      <c r="C15" s="1483">
        <v>22</v>
      </c>
      <c r="D15" s="1483" t="s">
        <v>2616</v>
      </c>
      <c r="E15" s="1483">
        <v>34</v>
      </c>
      <c r="F15" s="1483" t="s">
        <v>2617</v>
      </c>
      <c r="G15" s="1483">
        <v>46</v>
      </c>
      <c r="H15" s="1483" t="s">
        <v>2618</v>
      </c>
      <c r="I15" s="1483"/>
      <c r="J15" s="1483"/>
    </row>
    <row r="16" spans="1:10" ht="14" x14ac:dyDescent="0.3">
      <c r="A16" s="1483">
        <v>11</v>
      </c>
      <c r="B16" s="1483" t="s">
        <v>2619</v>
      </c>
      <c r="C16" s="1483">
        <v>23</v>
      </c>
      <c r="D16" s="1483" t="s">
        <v>2620</v>
      </c>
      <c r="E16" s="1483">
        <v>35</v>
      </c>
      <c r="F16" s="1483" t="s">
        <v>2621</v>
      </c>
      <c r="G16" s="1483">
        <v>47</v>
      </c>
      <c r="H16" s="1483" t="s">
        <v>2622</v>
      </c>
      <c r="I16" s="1483"/>
      <c r="J16" s="1483"/>
    </row>
    <row r="17" spans="1:10" ht="14" x14ac:dyDescent="0.3">
      <c r="A17" s="1483">
        <v>12</v>
      </c>
      <c r="B17" s="1483" t="s">
        <v>2623</v>
      </c>
      <c r="C17" s="1483">
        <v>24</v>
      </c>
      <c r="D17" s="1483" t="s">
        <v>2624</v>
      </c>
      <c r="E17" s="1483">
        <v>36</v>
      </c>
      <c r="F17" s="1483" t="s">
        <v>2625</v>
      </c>
      <c r="G17" s="1483">
        <v>48</v>
      </c>
      <c r="H17" s="1483" t="s">
        <v>2626</v>
      </c>
      <c r="I17" s="1483"/>
      <c r="J17" s="1483"/>
    </row>
  </sheetData>
  <pageMargins left="0.1" right="0.1" top="0.3" bottom="0.3" header="0.25" footer="0.25"/>
  <pageSetup orientation="landscape"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32"/>
  <sheetViews>
    <sheetView topLeftCell="B1" zoomScale="90" zoomScaleNormal="100" zoomScaleSheetLayoutView="90" workbookViewId="0">
      <selection activeCell="AH29" sqref="AH29"/>
    </sheetView>
  </sheetViews>
  <sheetFormatPr defaultColWidth="8.81640625" defaultRowHeight="12.5" x14ac:dyDescent="0.25"/>
  <cols>
    <col min="1" max="1" width="2.81640625" customWidth="1"/>
    <col min="2" max="10" width="12.7265625" customWidth="1"/>
  </cols>
  <sheetData>
    <row r="1" spans="1:10" s="6" customFormat="1" ht="30" customHeight="1" x14ac:dyDescent="0.35">
      <c r="A1" s="91"/>
      <c r="B1" s="3862" t="s">
        <v>69</v>
      </c>
      <c r="C1" s="3863"/>
      <c r="D1" s="3863"/>
      <c r="E1" s="3863"/>
      <c r="F1" s="3863"/>
      <c r="G1" s="3863"/>
      <c r="H1" s="3863"/>
      <c r="I1" s="3863"/>
      <c r="J1" s="3864"/>
    </row>
    <row r="2" spans="1:10" s="6" customFormat="1" ht="15.5" x14ac:dyDescent="0.35">
      <c r="A2" s="91"/>
      <c r="B2" s="82"/>
      <c r="C2" s="83"/>
      <c r="D2" s="83"/>
      <c r="E2" s="83"/>
      <c r="F2" s="83"/>
      <c r="G2" s="83"/>
      <c r="H2" s="83"/>
      <c r="I2" s="83"/>
      <c r="J2" s="84"/>
    </row>
    <row r="3" spans="1:10" s="6" customFormat="1" ht="15.5" x14ac:dyDescent="0.35">
      <c r="A3" s="91"/>
      <c r="B3" s="85"/>
      <c r="C3" s="86"/>
      <c r="D3" s="86"/>
      <c r="E3" s="86"/>
      <c r="F3" s="86"/>
      <c r="G3" s="86"/>
      <c r="H3" s="86"/>
      <c r="I3" s="86"/>
      <c r="J3" s="87"/>
    </row>
    <row r="4" spans="1:10" s="6" customFormat="1" ht="15.5" x14ac:dyDescent="0.35">
      <c r="A4" s="91"/>
      <c r="B4" s="85"/>
      <c r="C4" s="86"/>
      <c r="D4" s="86"/>
      <c r="E4" s="86"/>
      <c r="F4" s="86"/>
      <c r="G4" s="86"/>
      <c r="H4" s="86"/>
      <c r="I4" s="86"/>
      <c r="J4" s="87"/>
    </row>
    <row r="5" spans="1:10" s="6" customFormat="1" ht="15.5" x14ac:dyDescent="0.35">
      <c r="A5" s="91"/>
      <c r="B5" s="85"/>
      <c r="C5" s="86"/>
      <c r="D5" s="86"/>
      <c r="E5" s="86"/>
      <c r="F5" s="86"/>
      <c r="G5" s="86"/>
      <c r="H5" s="86"/>
      <c r="I5" s="86"/>
      <c r="J5" s="87"/>
    </row>
    <row r="6" spans="1:10" s="6" customFormat="1" ht="15.5" x14ac:dyDescent="0.35">
      <c r="A6" s="91"/>
      <c r="B6" s="85"/>
      <c r="C6" s="86"/>
      <c r="D6" s="86"/>
      <c r="E6" s="86"/>
      <c r="F6" s="86"/>
      <c r="G6" s="86"/>
      <c r="H6" s="86"/>
      <c r="I6" s="86"/>
      <c r="J6" s="87"/>
    </row>
    <row r="7" spans="1:10" s="6" customFormat="1" ht="15.5" x14ac:dyDescent="0.35">
      <c r="A7" s="91"/>
      <c r="B7" s="85"/>
      <c r="C7" s="86"/>
      <c r="D7" s="86"/>
      <c r="E7" s="86"/>
      <c r="F7" s="86"/>
      <c r="G7" s="86"/>
      <c r="H7" s="86"/>
      <c r="I7" s="86"/>
      <c r="J7" s="87"/>
    </row>
    <row r="8" spans="1:10" s="6" customFormat="1" ht="15.5" x14ac:dyDescent="0.35">
      <c r="A8" s="91"/>
      <c r="B8" s="85"/>
      <c r="C8" s="86"/>
      <c r="D8" s="86"/>
      <c r="E8" s="86"/>
      <c r="F8" s="86"/>
      <c r="G8" s="86"/>
      <c r="H8" s="86"/>
      <c r="I8" s="86"/>
      <c r="J8" s="87"/>
    </row>
    <row r="9" spans="1:10" s="6" customFormat="1" ht="15.5" x14ac:dyDescent="0.35">
      <c r="A9" s="91"/>
      <c r="B9" s="85"/>
      <c r="C9" s="86"/>
      <c r="D9" s="86"/>
      <c r="E9" s="86"/>
      <c r="F9" s="86"/>
      <c r="G9" s="86"/>
      <c r="H9" s="86"/>
      <c r="I9" s="86"/>
      <c r="J9" s="87"/>
    </row>
    <row r="10" spans="1:10" s="6" customFormat="1" ht="15.5" x14ac:dyDescent="0.35">
      <c r="A10" s="91"/>
      <c r="B10" s="85"/>
      <c r="C10" s="86"/>
      <c r="D10" s="86"/>
      <c r="E10" s="86"/>
      <c r="F10" s="86"/>
      <c r="G10" s="86"/>
      <c r="H10" s="86"/>
      <c r="I10" s="86"/>
      <c r="J10" s="87"/>
    </row>
    <row r="11" spans="1:10" s="6" customFormat="1" ht="15.5" x14ac:dyDescent="0.35">
      <c r="A11" s="91"/>
      <c r="B11" s="85"/>
      <c r="C11" s="86"/>
      <c r="D11" s="86"/>
      <c r="E11" s="86"/>
      <c r="F11" s="86"/>
      <c r="G11" s="86"/>
      <c r="H11" s="86"/>
      <c r="I11" s="86"/>
      <c r="J11" s="87"/>
    </row>
    <row r="12" spans="1:10" s="6" customFormat="1" ht="15.5" x14ac:dyDescent="0.35">
      <c r="A12" s="91"/>
      <c r="B12" s="85"/>
      <c r="C12" s="86"/>
      <c r="D12" s="86"/>
      <c r="E12" s="86"/>
      <c r="F12" s="86"/>
      <c r="G12" s="86"/>
      <c r="H12" s="86"/>
      <c r="I12" s="86"/>
      <c r="J12" s="87"/>
    </row>
    <row r="13" spans="1:10" s="6" customFormat="1" ht="15.5" x14ac:dyDescent="0.35">
      <c r="A13" s="91"/>
      <c r="B13" s="85"/>
      <c r="C13" s="86"/>
      <c r="D13" s="86"/>
      <c r="E13" s="86"/>
      <c r="F13" s="86"/>
      <c r="G13" s="86"/>
      <c r="H13" s="86"/>
      <c r="I13" s="86"/>
      <c r="J13" s="87"/>
    </row>
    <row r="14" spans="1:10" s="6" customFormat="1" ht="15.5" x14ac:dyDescent="0.35">
      <c r="A14" s="91"/>
      <c r="B14" s="85"/>
      <c r="C14" s="86"/>
      <c r="D14" s="86"/>
      <c r="E14" s="86"/>
      <c r="F14" s="86"/>
      <c r="G14" s="86"/>
      <c r="H14" s="86"/>
      <c r="I14" s="86"/>
      <c r="J14" s="87"/>
    </row>
    <row r="15" spans="1:10" s="6" customFormat="1" ht="15.5" x14ac:dyDescent="0.35">
      <c r="A15" s="91"/>
      <c r="B15" s="85"/>
      <c r="C15" s="86"/>
      <c r="D15" s="86"/>
      <c r="E15" s="86"/>
      <c r="F15" s="86"/>
      <c r="G15" s="86"/>
      <c r="H15" s="86"/>
      <c r="I15" s="86"/>
      <c r="J15" s="87"/>
    </row>
    <row r="16" spans="1:10" s="6" customFormat="1" ht="15.5" x14ac:dyDescent="0.35">
      <c r="A16" s="91"/>
      <c r="B16" s="85"/>
      <c r="C16" s="86"/>
      <c r="D16" s="86"/>
      <c r="E16" s="86"/>
      <c r="F16" s="86"/>
      <c r="G16" s="86"/>
      <c r="H16" s="86"/>
      <c r="I16" s="86"/>
      <c r="J16" s="87"/>
    </row>
    <row r="17" spans="1:10" s="6" customFormat="1" ht="15.5" x14ac:dyDescent="0.35">
      <c r="A17" s="91"/>
      <c r="B17" s="85"/>
      <c r="C17" s="86"/>
      <c r="D17" s="86"/>
      <c r="E17" s="86"/>
      <c r="F17" s="86"/>
      <c r="G17" s="86"/>
      <c r="H17" s="86"/>
      <c r="I17" s="86"/>
      <c r="J17" s="87"/>
    </row>
    <row r="18" spans="1:10" s="6" customFormat="1" ht="15.5" x14ac:dyDescent="0.35">
      <c r="A18" s="91"/>
      <c r="B18" s="85"/>
      <c r="C18" s="86"/>
      <c r="D18" s="86"/>
      <c r="E18" s="86"/>
      <c r="F18" s="86"/>
      <c r="G18" s="86"/>
      <c r="H18" s="86"/>
      <c r="I18" s="86"/>
      <c r="J18" s="87"/>
    </row>
    <row r="19" spans="1:10" s="6" customFormat="1" ht="15.5" x14ac:dyDescent="0.35">
      <c r="A19" s="91"/>
      <c r="B19" s="85"/>
      <c r="C19" s="86"/>
      <c r="D19" s="86"/>
      <c r="E19" s="86"/>
      <c r="F19" s="86"/>
      <c r="G19" s="86"/>
      <c r="H19" s="86"/>
      <c r="I19" s="86"/>
      <c r="J19" s="87"/>
    </row>
    <row r="20" spans="1:10" s="6" customFormat="1" ht="15.5" x14ac:dyDescent="0.35">
      <c r="A20" s="91"/>
      <c r="B20" s="85"/>
      <c r="C20" s="86"/>
      <c r="D20" s="86"/>
      <c r="E20" s="86"/>
      <c r="F20" s="86"/>
      <c r="G20" s="86"/>
      <c r="H20" s="86"/>
      <c r="I20" s="86"/>
      <c r="J20" s="87"/>
    </row>
    <row r="21" spans="1:10" s="6" customFormat="1" ht="15.5" x14ac:dyDescent="0.35">
      <c r="A21" s="91"/>
      <c r="B21" s="85"/>
      <c r="C21" s="86"/>
      <c r="D21" s="86"/>
      <c r="E21" s="86"/>
      <c r="F21" s="86"/>
      <c r="G21" s="86"/>
      <c r="H21" s="86"/>
      <c r="I21" s="86"/>
      <c r="J21" s="87"/>
    </row>
    <row r="22" spans="1:10" s="6" customFormat="1" ht="15.5" x14ac:dyDescent="0.35">
      <c r="A22" s="91"/>
      <c r="B22" s="85"/>
      <c r="C22" s="86"/>
      <c r="D22" s="86"/>
      <c r="E22" s="86"/>
      <c r="F22" s="86"/>
      <c r="G22" s="86"/>
      <c r="H22" s="86"/>
      <c r="I22" s="86"/>
      <c r="J22" s="87"/>
    </row>
    <row r="23" spans="1:10" s="6" customFormat="1" ht="15.5" x14ac:dyDescent="0.35">
      <c r="A23" s="91"/>
      <c r="B23" s="85"/>
      <c r="C23" s="86"/>
      <c r="D23" s="86"/>
      <c r="E23" s="86"/>
      <c r="F23" s="86"/>
      <c r="G23" s="86"/>
      <c r="H23" s="86"/>
      <c r="I23" s="86"/>
      <c r="J23" s="87"/>
    </row>
    <row r="24" spans="1:10" s="6" customFormat="1" ht="15.5" x14ac:dyDescent="0.35">
      <c r="A24" s="91"/>
      <c r="B24" s="85"/>
      <c r="C24" s="86"/>
      <c r="D24" s="86"/>
      <c r="E24" s="86"/>
      <c r="F24" s="86"/>
      <c r="G24" s="86"/>
      <c r="H24" s="86"/>
      <c r="I24" s="86"/>
      <c r="J24" s="87"/>
    </row>
    <row r="25" spans="1:10" s="6" customFormat="1" ht="15.5" x14ac:dyDescent="0.35">
      <c r="A25" s="91"/>
      <c r="B25" s="85"/>
      <c r="C25" s="86"/>
      <c r="D25" s="86"/>
      <c r="E25" s="86"/>
      <c r="F25" s="86"/>
      <c r="G25" s="86"/>
      <c r="H25" s="86"/>
      <c r="I25" s="86"/>
      <c r="J25" s="87"/>
    </row>
    <row r="26" spans="1:10" s="6" customFormat="1" ht="15.5" x14ac:dyDescent="0.35">
      <c r="A26" s="91"/>
      <c r="B26" s="85"/>
      <c r="C26" s="86"/>
      <c r="D26" s="86"/>
      <c r="E26" s="86"/>
      <c r="F26" s="86"/>
      <c r="G26" s="86"/>
      <c r="H26" s="86"/>
      <c r="I26" s="86"/>
      <c r="J26" s="87"/>
    </row>
    <row r="27" spans="1:10" s="6" customFormat="1" ht="15.5" x14ac:dyDescent="0.35">
      <c r="A27" s="91"/>
      <c r="B27" s="85"/>
      <c r="C27" s="86"/>
      <c r="D27" s="86"/>
      <c r="E27" s="86"/>
      <c r="F27" s="86"/>
      <c r="G27" s="86"/>
      <c r="H27" s="86"/>
      <c r="I27" s="86"/>
      <c r="J27" s="87"/>
    </row>
    <row r="28" spans="1:10" s="6" customFormat="1" ht="15.5" x14ac:dyDescent="0.35">
      <c r="A28" s="91"/>
      <c r="B28" s="85"/>
      <c r="C28" s="86"/>
      <c r="D28" s="86"/>
      <c r="E28" s="86"/>
      <c r="F28" s="86"/>
      <c r="G28" s="86"/>
      <c r="H28" s="86"/>
      <c r="I28" s="86"/>
      <c r="J28" s="87"/>
    </row>
    <row r="29" spans="1:10" s="6" customFormat="1" ht="15.5" x14ac:dyDescent="0.35">
      <c r="A29" s="91"/>
      <c r="B29" s="85"/>
      <c r="C29" s="86"/>
      <c r="D29" s="86"/>
      <c r="E29" s="86"/>
      <c r="F29" s="86"/>
      <c r="G29" s="86"/>
      <c r="H29" s="86"/>
      <c r="I29" s="86"/>
      <c r="J29" s="87"/>
    </row>
    <row r="30" spans="1:10" s="6" customFormat="1" ht="15.5" x14ac:dyDescent="0.35">
      <c r="A30" s="91"/>
      <c r="B30" s="85"/>
      <c r="C30" s="86"/>
      <c r="D30" s="86"/>
      <c r="E30" s="86"/>
      <c r="F30" s="86"/>
      <c r="G30" s="86"/>
      <c r="H30" s="86"/>
      <c r="I30" s="86"/>
      <c r="J30" s="87"/>
    </row>
    <row r="31" spans="1:10" s="6" customFormat="1" ht="15.5" x14ac:dyDescent="0.35">
      <c r="A31" s="91"/>
      <c r="B31" s="85"/>
      <c r="C31" s="86"/>
      <c r="D31" s="86"/>
      <c r="E31" s="86"/>
      <c r="F31" s="86"/>
      <c r="G31" s="86"/>
      <c r="H31" s="86"/>
      <c r="I31" s="86"/>
      <c r="J31" s="87"/>
    </row>
    <row r="32" spans="1:10" s="6" customFormat="1" ht="15.5" x14ac:dyDescent="0.35">
      <c r="A32" s="87"/>
      <c r="B32" s="88"/>
      <c r="C32" s="89"/>
      <c r="D32" s="89"/>
      <c r="E32" s="89"/>
      <c r="F32" s="89"/>
      <c r="G32" s="89"/>
      <c r="H32" s="89"/>
      <c r="I32" s="89"/>
      <c r="J32" s="90"/>
    </row>
  </sheetData>
  <mergeCells count="1">
    <mergeCell ref="B1:J1"/>
  </mergeCells>
  <pageMargins left="0.314" right="0.314" top="0.11799999999999999" bottom="0.27500000000000002" header="0.157" footer="0.11799999999999999"/>
  <pageSetup firstPageNumber="56" orientation="landscape" r:id="rId1"/>
  <headerFoot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2:C8"/>
  <sheetViews>
    <sheetView workbookViewId="0">
      <selection activeCell="J17" sqref="J17"/>
    </sheetView>
  </sheetViews>
  <sheetFormatPr defaultColWidth="11" defaultRowHeight="12.5" x14ac:dyDescent="0.25"/>
  <cols>
    <col min="1" max="1" width="16.26953125" bestFit="1" customWidth="1"/>
  </cols>
  <sheetData>
    <row r="2" spans="1:3" x14ac:dyDescent="0.25">
      <c r="A2" s="10" t="s">
        <v>2627</v>
      </c>
      <c r="B2" s="10">
        <v>2019</v>
      </c>
      <c r="C2" t="str">
        <f>CONCATENATE(B2,"/",B2+1)</f>
        <v>2019/2020</v>
      </c>
    </row>
    <row r="3" spans="1:3" x14ac:dyDescent="0.25">
      <c r="A3" s="10" t="s">
        <v>2628</v>
      </c>
      <c r="B3">
        <f>B2+1</f>
        <v>2020</v>
      </c>
      <c r="C3" t="str">
        <f>CONCATENATE(B3,"/",B3+1)</f>
        <v>2020/2021</v>
      </c>
    </row>
    <row r="4" spans="1:3" x14ac:dyDescent="0.25">
      <c r="A4" s="10" t="s">
        <v>2629</v>
      </c>
      <c r="B4">
        <v>2021</v>
      </c>
      <c r="C4" t="str">
        <f>CONCATENATE(B4,"/",B4+1)</f>
        <v>2021/2022</v>
      </c>
    </row>
    <row r="7" spans="1:3" x14ac:dyDescent="0.25">
      <c r="A7" s="10" t="s">
        <v>2630</v>
      </c>
      <c r="B7" s="10" t="s">
        <v>2631</v>
      </c>
      <c r="C7" s="10" t="s">
        <v>2632</v>
      </c>
    </row>
    <row r="8" spans="1:3" x14ac:dyDescent="0.25">
      <c r="B8" s="10" t="s">
        <v>2633</v>
      </c>
      <c r="C8" s="10" t="s">
        <v>2634</v>
      </c>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CG39"/>
  <sheetViews>
    <sheetView view="pageBreakPreview" topLeftCell="CA6" zoomScale="120" zoomScaleNormal="120" zoomScaleSheetLayoutView="120" workbookViewId="0">
      <selection activeCell="J8" sqref="J8"/>
    </sheetView>
  </sheetViews>
  <sheetFormatPr defaultColWidth="8.81640625" defaultRowHeight="12.5" x14ac:dyDescent="0.25"/>
  <cols>
    <col min="1" max="1" width="3.453125" customWidth="1"/>
    <col min="2" max="2" width="5" customWidth="1"/>
    <col min="3" max="7" width="6.26953125" customWidth="1"/>
    <col min="8" max="8" width="9" customWidth="1"/>
    <col min="9" max="10" width="6.26953125" customWidth="1"/>
    <col min="11" max="11" width="9" customWidth="1"/>
    <col min="12" max="12" width="10.7265625" customWidth="1"/>
    <col min="13" max="13" width="5.1796875" style="259" customWidth="1"/>
    <col min="14" max="14" width="6" style="259" customWidth="1"/>
    <col min="15" max="15" width="7" style="259" customWidth="1"/>
    <col min="16" max="17" width="9" style="259" customWidth="1"/>
    <col min="18" max="18" width="10.7265625" style="259" customWidth="1"/>
    <col min="19" max="19" width="12.1796875" customWidth="1"/>
    <col min="20" max="20" width="7.453125" customWidth="1"/>
    <col min="21" max="21" width="3.453125" customWidth="1"/>
    <col min="22" max="22" width="8.7265625" customWidth="1"/>
    <col min="23" max="24" width="13.453125" customWidth="1"/>
    <col min="25" max="25" width="12.453125" customWidth="1"/>
    <col min="26" max="31" width="4.1796875" customWidth="1"/>
    <col min="32" max="32" width="13.453125" customWidth="1"/>
    <col min="33" max="40" width="4.1796875" customWidth="1"/>
    <col min="41" max="41" width="13.453125" style="259" customWidth="1"/>
    <col min="42" max="42" width="21" style="259" customWidth="1"/>
    <col min="43" max="43" width="11" customWidth="1"/>
    <col min="44" max="44" width="11.81640625" customWidth="1"/>
    <col min="45" max="45" width="17" customWidth="1"/>
    <col min="46" max="46" width="10.453125" customWidth="1"/>
    <col min="47" max="48" width="6.81640625" customWidth="1"/>
    <col min="49" max="49" width="8" customWidth="1"/>
    <col min="50" max="50" width="1.7265625" customWidth="1"/>
    <col min="51" max="51" width="18.81640625" style="259" customWidth="1"/>
    <col min="52" max="52" width="17.7265625" customWidth="1"/>
    <col min="53" max="53" width="11.1796875" customWidth="1"/>
    <col min="54" max="54" width="3.453125" customWidth="1"/>
    <col min="55" max="55" width="10.453125" customWidth="1"/>
    <col min="56" max="67" width="4.1796875" customWidth="1"/>
    <col min="68" max="68" width="0" hidden="1" customWidth="1"/>
    <col min="69" max="69" width="14.7265625" customWidth="1"/>
    <col min="70" max="71" width="12.81640625" style="10" customWidth="1"/>
    <col min="72" max="74" width="12.453125" style="10" customWidth="1"/>
    <col min="75" max="75" width="3.453125" customWidth="1"/>
    <col min="76" max="76" width="11.1796875" customWidth="1"/>
    <col min="77" max="77" width="11.7265625" customWidth="1"/>
    <col min="78" max="79" width="11.453125" customWidth="1"/>
    <col min="80" max="80" width="17.453125" style="259" customWidth="1"/>
    <col min="81" max="82" width="18.453125" customWidth="1"/>
    <col min="83" max="83" width="9.453125" customWidth="1"/>
    <col min="84" max="84" width="14.453125" customWidth="1"/>
    <col min="85" max="85" width="11.453125" customWidth="1"/>
  </cols>
  <sheetData>
    <row r="1" spans="1:85" ht="15.75" customHeight="1" x14ac:dyDescent="0.3">
      <c r="A1" s="216" t="s">
        <v>360</v>
      </c>
      <c r="B1" s="216"/>
      <c r="C1" s="217"/>
      <c r="D1" s="218"/>
      <c r="E1" s="218"/>
      <c r="F1" s="217"/>
      <c r="G1" s="218"/>
      <c r="H1" s="218"/>
      <c r="I1" s="217"/>
      <c r="J1" s="218"/>
      <c r="K1" s="218"/>
      <c r="L1" s="218"/>
      <c r="M1" s="219"/>
      <c r="N1" s="219"/>
      <c r="O1" s="219"/>
      <c r="P1" s="220"/>
      <c r="Q1" s="220"/>
      <c r="R1" s="220"/>
      <c r="S1" s="218"/>
      <c r="T1" s="221"/>
      <c r="U1" s="216" t="s">
        <v>360</v>
      </c>
      <c r="V1" s="218"/>
      <c r="W1" s="218"/>
      <c r="X1" s="218"/>
      <c r="Y1" s="218"/>
      <c r="Z1" s="218"/>
      <c r="AA1" s="218"/>
      <c r="AB1" s="218"/>
      <c r="AC1" s="218"/>
      <c r="AD1" s="218"/>
      <c r="AE1" s="218"/>
      <c r="AF1" s="218"/>
      <c r="AG1" s="218"/>
      <c r="AH1" s="218"/>
      <c r="AI1" s="218"/>
      <c r="AJ1" s="218"/>
      <c r="AK1" s="218"/>
      <c r="AL1" s="218"/>
      <c r="AM1" s="218"/>
      <c r="AN1" s="218"/>
      <c r="AO1" s="219"/>
      <c r="AP1" s="219"/>
      <c r="AQ1" s="218"/>
      <c r="AR1" s="218"/>
      <c r="AS1" s="218"/>
      <c r="AT1" s="218"/>
      <c r="AU1" s="218"/>
      <c r="AV1" s="10"/>
      <c r="AW1" s="218"/>
      <c r="AX1" s="218"/>
      <c r="AY1" s="219"/>
      <c r="AZ1" s="216"/>
      <c r="BA1" s="216"/>
      <c r="BB1" s="216" t="s">
        <v>360</v>
      </c>
      <c r="BC1" s="218"/>
      <c r="BD1" s="218"/>
      <c r="BE1" s="218"/>
      <c r="BF1" s="218"/>
      <c r="BG1" s="218"/>
      <c r="BH1" s="218"/>
      <c r="BI1" s="218"/>
      <c r="BJ1" s="218"/>
      <c r="BK1" s="218"/>
      <c r="BL1" s="218"/>
      <c r="BM1" s="218"/>
      <c r="BN1" s="218"/>
      <c r="BO1" s="218"/>
      <c r="BP1" s="218"/>
      <c r="BQ1" s="221"/>
      <c r="BR1" s="221"/>
      <c r="BS1" s="221"/>
      <c r="BT1" s="216"/>
      <c r="BU1" s="216"/>
      <c r="BV1" s="216"/>
      <c r="BW1" s="216" t="s">
        <v>360</v>
      </c>
      <c r="BX1" s="218"/>
      <c r="BY1" s="218"/>
      <c r="BZ1" s="218"/>
      <c r="CA1" s="218"/>
      <c r="CB1" s="219"/>
      <c r="CC1" s="216"/>
      <c r="CD1" s="216"/>
      <c r="CE1" s="222"/>
      <c r="CF1" s="221"/>
      <c r="CG1" s="10"/>
    </row>
    <row r="2" spans="1:85" ht="15.75" customHeight="1" x14ac:dyDescent="0.35">
      <c r="A2" s="229"/>
      <c r="B2" s="229"/>
      <c r="C2" s="230"/>
      <c r="D2" s="225"/>
      <c r="E2" s="225"/>
      <c r="F2" s="230"/>
      <c r="G2" s="225"/>
      <c r="H2" s="225"/>
      <c r="I2" s="230"/>
      <c r="J2" s="225"/>
      <c r="K2" s="225"/>
      <c r="L2" s="225"/>
      <c r="M2" s="226"/>
      <c r="N2" s="226"/>
      <c r="O2" s="226"/>
      <c r="P2" s="223"/>
      <c r="Q2" s="223"/>
      <c r="R2" s="223"/>
      <c r="S2" s="225"/>
      <c r="T2" s="224"/>
      <c r="U2" s="225"/>
      <c r="V2" s="225"/>
      <c r="W2" s="225"/>
      <c r="X2" s="225"/>
      <c r="Y2" s="225"/>
      <c r="Z2" s="231"/>
      <c r="AA2" s="231"/>
      <c r="AB2" s="231"/>
      <c r="AC2" s="231"/>
      <c r="AD2" s="231"/>
      <c r="AE2" s="231"/>
      <c r="AF2" s="225"/>
      <c r="AG2" s="231"/>
      <c r="AH2" s="231"/>
      <c r="AI2" s="231"/>
      <c r="AJ2" s="231"/>
      <c r="AK2" s="231"/>
      <c r="AL2" s="231"/>
      <c r="AM2" s="231"/>
      <c r="AN2" s="231"/>
      <c r="AO2" s="226"/>
      <c r="AP2" s="226"/>
      <c r="AQ2" s="225"/>
      <c r="AR2" s="225"/>
      <c r="AS2" s="225"/>
      <c r="AT2" s="225"/>
      <c r="AU2" s="225"/>
      <c r="AV2" s="225"/>
      <c r="AW2" s="225"/>
      <c r="AX2" s="225"/>
      <c r="AY2" s="1526"/>
      <c r="AZ2" s="231"/>
      <c r="BA2" s="231"/>
      <c r="BB2" s="228"/>
      <c r="BC2" s="231"/>
      <c r="BD2" s="231"/>
      <c r="BE2" s="231"/>
      <c r="BF2" s="231"/>
      <c r="BG2" s="231"/>
      <c r="BH2" s="231"/>
      <c r="BI2" s="231"/>
      <c r="BJ2" s="231"/>
      <c r="BK2" s="231"/>
      <c r="BL2" s="231"/>
      <c r="BM2" s="231"/>
      <c r="BN2" s="231"/>
      <c r="BO2" s="231"/>
      <c r="BP2" s="231"/>
      <c r="BQ2" s="228"/>
      <c r="BR2" s="1110"/>
      <c r="BS2" s="1110"/>
      <c r="BT2" s="228"/>
      <c r="BU2" s="228"/>
      <c r="BV2" s="228"/>
      <c r="BW2" s="228"/>
      <c r="BX2" s="231"/>
      <c r="BY2" s="231"/>
      <c r="BZ2" s="231"/>
      <c r="CA2" s="231"/>
      <c r="CB2" s="1526"/>
      <c r="CC2" s="232"/>
      <c r="CD2" s="232"/>
      <c r="CE2" s="232"/>
      <c r="CF2" s="232"/>
    </row>
    <row r="3" spans="1:85" ht="13.5" customHeight="1" x14ac:dyDescent="0.25">
      <c r="A3" s="2766" t="s">
        <v>170</v>
      </c>
      <c r="B3" s="233">
        <v>2</v>
      </c>
      <c r="C3" s="2367">
        <f>B3+0.01</f>
        <v>2.0099999999999998</v>
      </c>
      <c r="D3" s="233"/>
      <c r="E3" s="234"/>
      <c r="F3" s="2367">
        <f>C3+0.01</f>
        <v>2.0199999999999996</v>
      </c>
      <c r="G3" s="233"/>
      <c r="H3" s="233"/>
      <c r="I3" s="1914" t="str">
        <f>CONCATENATE(F3, "a")</f>
        <v>2.02a</v>
      </c>
      <c r="J3" s="1915"/>
      <c r="K3" s="1916"/>
      <c r="L3" s="1913">
        <f>F3+0.01</f>
        <v>2.0299999999999994</v>
      </c>
      <c r="M3" s="1831">
        <f>L3+0.01</f>
        <v>2.0399999999999991</v>
      </c>
      <c r="N3" s="608"/>
      <c r="O3" s="608"/>
      <c r="P3" s="759"/>
      <c r="Q3" s="1832" t="str">
        <f>CONCATENATE(M3,"b")</f>
        <v>2.04b</v>
      </c>
      <c r="R3" s="642">
        <f>M3+0.01</f>
        <v>2.0499999999999989</v>
      </c>
      <c r="S3" s="2518">
        <f>R3+0.01</f>
        <v>2.0599999999999987</v>
      </c>
      <c r="T3" s="215">
        <f>S3+0.01</f>
        <v>2.0699999999999985</v>
      </c>
      <c r="U3" s="2766" t="s">
        <v>170</v>
      </c>
      <c r="V3" s="215">
        <f>T3+0.01</f>
        <v>2.0799999999999983</v>
      </c>
      <c r="W3" s="2375">
        <f>V3+0.01</f>
        <v>2.0899999999999981</v>
      </c>
      <c r="X3" s="237" t="str">
        <f>CONCATENATE(W3,"a")</f>
        <v>2.09a</v>
      </c>
      <c r="Y3" s="236" t="str">
        <f>CONCATENATE(W3,"b")</f>
        <v>2.09b</v>
      </c>
      <c r="Z3" s="2955" t="str">
        <f>CONCATENATE(W3,"c")</f>
        <v>2.09c</v>
      </c>
      <c r="AA3" s="2956"/>
      <c r="AB3" s="2956"/>
      <c r="AC3" s="2957"/>
      <c r="AD3" s="2393"/>
      <c r="AE3" s="1920"/>
      <c r="AF3" s="1924" t="str">
        <f>CONCATENATE(W3,"d")</f>
        <v>2.09d</v>
      </c>
      <c r="AG3" s="2769" t="str">
        <f>CONCATENATE(W3,"e")</f>
        <v>2.09e</v>
      </c>
      <c r="AH3" s="2770"/>
      <c r="AI3" s="2770"/>
      <c r="AJ3" s="2900"/>
      <c r="AK3" s="2388"/>
      <c r="AL3" s="2388"/>
      <c r="AM3" s="2388"/>
      <c r="AN3" s="235"/>
      <c r="AO3" s="236">
        <f>W3+0.01</f>
        <v>2.0999999999999979</v>
      </c>
      <c r="AP3" s="2374">
        <f t="shared" ref="AP3:AQ3" si="0">AO3+0.01</f>
        <v>2.1099999999999977</v>
      </c>
      <c r="AQ3" s="2374">
        <f t="shared" si="0"/>
        <v>2.1199999999999974</v>
      </c>
      <c r="AR3" s="1804" t="str">
        <f>CONCATENATE(AQ3, "a")</f>
        <v>2.12a</v>
      </c>
      <c r="AS3" s="1804" t="str">
        <f>CONCATENATE(AQ3, "b")</f>
        <v>2.12b</v>
      </c>
      <c r="AT3" s="1805" t="str">
        <f>CONCATENATE(AQ3, "c")</f>
        <v>2.12c</v>
      </c>
      <c r="AU3" s="1903">
        <f>AQ3+0.01</f>
        <v>2.1299999999999972</v>
      </c>
      <c r="AV3" s="1929"/>
      <c r="AW3" s="1930"/>
      <c r="AX3" s="1931"/>
      <c r="AY3" s="1527">
        <f>AU3+0.01</f>
        <v>2.139999999999997</v>
      </c>
      <c r="AZ3" s="215">
        <f>AY3+0.01</f>
        <v>2.1499999999999968</v>
      </c>
      <c r="BA3" s="215">
        <f>AZ3+0.01</f>
        <v>2.1599999999999966</v>
      </c>
      <c r="BB3" s="2766" t="s">
        <v>170</v>
      </c>
      <c r="BC3" s="236">
        <f>BA3+0.01</f>
        <v>2.1699999999999964</v>
      </c>
      <c r="BD3" s="2769">
        <f>+BC3+0.01</f>
        <v>2.1799999999999962</v>
      </c>
      <c r="BE3" s="2770"/>
      <c r="BF3" s="2770"/>
      <c r="BG3" s="2900"/>
      <c r="BH3" s="2388"/>
      <c r="BI3" s="2388"/>
      <c r="BJ3" s="2388"/>
      <c r="BK3" s="2388"/>
      <c r="BL3" s="2388"/>
      <c r="BM3" s="2388"/>
      <c r="BN3" s="2388"/>
      <c r="BO3" s="235"/>
      <c r="BP3" s="236">
        <f>BD3+0.01</f>
        <v>2.1899999999999959</v>
      </c>
      <c r="BQ3" s="236">
        <f>BD3+0.01</f>
        <v>2.1899999999999959</v>
      </c>
      <c r="BR3" s="1932">
        <f>BQ3+0.01</f>
        <v>2.1999999999999957</v>
      </c>
      <c r="BS3" s="1120">
        <f>BR3+0.01</f>
        <v>2.2099999999999955</v>
      </c>
      <c r="BT3" s="236">
        <f>BS3+0.01</f>
        <v>2.2199999999999953</v>
      </c>
      <c r="BU3" s="237">
        <f>BT3+0.01</f>
        <v>2.2299999999999951</v>
      </c>
      <c r="BV3" s="237">
        <f>BU3+0.01</f>
        <v>2.2399999999999949</v>
      </c>
      <c r="BW3" s="2766" t="s">
        <v>170</v>
      </c>
      <c r="BX3" s="237">
        <f>BV3+0.01</f>
        <v>2.2499999999999947</v>
      </c>
      <c r="BY3" s="237">
        <f t="shared" ref="BY3:CF3" si="1">BX3+0.01</f>
        <v>2.2599999999999945</v>
      </c>
      <c r="BZ3" s="237">
        <f t="shared" si="1"/>
        <v>2.2699999999999942</v>
      </c>
      <c r="CA3" s="237">
        <f t="shared" si="1"/>
        <v>2.279999999999994</v>
      </c>
      <c r="CB3" s="1532">
        <f t="shared" si="1"/>
        <v>2.2899999999999938</v>
      </c>
      <c r="CC3" s="237">
        <f t="shared" si="1"/>
        <v>2.2999999999999936</v>
      </c>
      <c r="CD3" s="237">
        <f>CC3+0.01</f>
        <v>2.3099999999999934</v>
      </c>
      <c r="CE3" s="237">
        <f>CD3+0.01</f>
        <v>2.3199999999999932</v>
      </c>
      <c r="CF3" s="237">
        <f t="shared" si="1"/>
        <v>2.329999999999993</v>
      </c>
    </row>
    <row r="4" spans="1:85" ht="16.5" customHeight="1" x14ac:dyDescent="0.25">
      <c r="A4" s="2767"/>
      <c r="B4" s="2947" t="s">
        <v>172</v>
      </c>
      <c r="C4" s="2836" t="s">
        <v>361</v>
      </c>
      <c r="D4" s="2837"/>
      <c r="E4" s="2946"/>
      <c r="F4" s="2836" t="s">
        <v>362</v>
      </c>
      <c r="G4" s="2837"/>
      <c r="H4" s="2837"/>
      <c r="I4" s="2856" t="s">
        <v>363</v>
      </c>
      <c r="J4" s="2857"/>
      <c r="K4" s="2858"/>
      <c r="L4" s="2936" t="s">
        <v>364</v>
      </c>
      <c r="M4" s="2934" t="str">
        <f>CONCATENATE("Pour quelle raison principale [NOM] n'a-t-il/elle pas fait des études dans une école formelle?
Si 1 à 14 ►(",TEXT(R3,"0.00"),")")</f>
        <v>Pour quelle raison principale [NOM] n'a-t-il/elle pas fait des études dans une école formelle?
Si 1 à 14 ►(2.05)</v>
      </c>
      <c r="N4" s="2857"/>
      <c r="O4" s="2857"/>
      <c r="P4" s="2935"/>
      <c r="Q4" s="2891" t="s">
        <v>365</v>
      </c>
      <c r="R4" s="2783" t="s">
        <v>366</v>
      </c>
      <c r="S4" s="2787" t="s">
        <v>367</v>
      </c>
      <c r="T4" s="2899" t="s">
        <v>368</v>
      </c>
      <c r="U4" s="2767"/>
      <c r="V4" s="2883" t="str">
        <f>CONCATENATE("[NOM] a-t-il/elle fréquenté une école au cours de l'année scolaire ",Variables!C2," ?")</f>
        <v>[NOM] a-t-il/elle fréquenté une école au cours de l'année scolaire 2019/2020 ?</v>
      </c>
      <c r="W4" s="2950" t="str">
        <f>CONCATENATE("Qui gère l'école fréquentée par [NOM] au cours de l'année ",Variables!C2," ?")</f>
        <v>Qui gère l'école fréquentée par [NOM] au cours de l'année 2019/2020 ?</v>
      </c>
      <c r="X4" s="2796" t="str">
        <f>CONCATENATE("L'école de  [NOM] a-t-elle été fermée momentanément à cause de la COVID-19 au cours de l'année ", Variables!C2,"?")</f>
        <v>L'école de  [NOM] a-t-elle été fermée momentanément à cause de la COVID-19 au cours de l'année 2019/2020?</v>
      </c>
      <c r="Y4" s="2987" t="str">
        <f>CONCATENATE("[NOM] était-il/elle en contact avec les enseignants ou l'administration de l'école lorsqu'elle était fermée au cours de l'année ",Variables!C2," ?")</f>
        <v>[NOM] était-il/elle en contact avec les enseignants ou l'administration de l'école lorsqu'elle était fermée au cours de l'année 2019/2020 ?</v>
      </c>
      <c r="Z4" s="2961" t="str">
        <f>CONCATENATE("Comment [NOM] est resté en contact avec son école lorsque l'école était fermée pendant l'année ",Variables!C2," ?")</f>
        <v>Comment [NOM] est resté en contact avec son école lorsque l'école était fermée pendant l'année 2019/2020 ?</v>
      </c>
      <c r="AA4" s="2962"/>
      <c r="AB4" s="2962"/>
      <c r="AC4" s="2962"/>
      <c r="AD4" s="2962"/>
      <c r="AE4" s="2963"/>
      <c r="AF4" s="2882" t="str">
        <f>CONCATENATE("[NOM] a t-il/elle participé à des activités éducatives pendant que l'école était fermée au cours de l'année ",Variables!C2," ?")</f>
        <v>[NOM] a t-il/elle participé à des activités éducatives pendant que l'école était fermée au cours de l'année 2019/2020 ?</v>
      </c>
      <c r="AG4" s="2901" t="str">
        <f>CONCATENATE("Quels types d'activités éducatives [NOM] a t-il/elle fait pendant que l'école était fermée au cours de l'année ",Variables!C2," ?")</f>
        <v>Quels types d'activités éducatives [NOM] a t-il/elle fait pendant que l'école était fermée au cours de l'année 2019/2020 ?</v>
      </c>
      <c r="AH4" s="2902"/>
      <c r="AI4" s="2902"/>
      <c r="AJ4" s="2902"/>
      <c r="AK4" s="2902"/>
      <c r="AL4" s="2902"/>
      <c r="AM4" s="2902"/>
      <c r="AN4" s="2903"/>
      <c r="AO4" s="2883" t="str">
        <f>CONCATENATE("Quel résultat [NOM] a-t-il/elle obtenu au cours de l'année ", Variables!C2," ?")</f>
        <v>Quel résultat [NOM] a-t-il/elle obtenu au cours de l'année 2019/2020 ?</v>
      </c>
      <c r="AP4" s="2783" t="s">
        <v>369</v>
      </c>
      <c r="AQ4" s="2949" t="str">
        <f>CONCATENATE("[NOM] a-t-il/elle fréquenté une école au cours de l'année scolaire ", Variables!C3, " ?")</f>
        <v>[NOM] a-t-il/elle fréquenté une école au cours de l'année scolaire 2020/2021 ?</v>
      </c>
      <c r="AR4" s="2891" t="s">
        <v>370</v>
      </c>
      <c r="AS4" s="2891" t="s">
        <v>371</v>
      </c>
      <c r="AT4" s="2882" t="s">
        <v>372</v>
      </c>
      <c r="AU4" s="2958" t="str">
        <f>CONCATENATE("Pour quelle raison principale [NOM] n'a-t-il/elle pas été à l'école en ", Variables!C3, " ?")</f>
        <v>Pour quelle raison principale [NOM] n'a-t-il/elle pas été à l'école en 2020/2021 ?</v>
      </c>
      <c r="AV4" s="2959"/>
      <c r="AW4" s="2959"/>
      <c r="AX4" s="2960"/>
      <c r="AY4" s="2927" t="str">
        <f>CONCATENATE("Quel est le niveau d'études suivi par [NOM]  au cours de l'année ", Variables!C3, " ?")</f>
        <v>Quel est le niveau d'études suivi par [NOM]  au cours de l'année 2020/2021 ?</v>
      </c>
      <c r="AZ4" s="2898" t="s">
        <v>373</v>
      </c>
      <c r="BA4" s="2904" t="str">
        <f>CONCATENATE("Quelle est la classe fréquentée par [NOM]  dans le niveau déclaré au cours de l'année ",Variables!C3," ?")</f>
        <v>Quelle est la classe fréquentée par [NOM]  dans le niveau déclaré au cours de l'année 2020/2021 ?</v>
      </c>
      <c r="BB4" s="2767"/>
      <c r="BC4" s="2899" t="s">
        <v>374</v>
      </c>
      <c r="BD4" s="2825" t="s">
        <v>375</v>
      </c>
      <c r="BE4" s="2826"/>
      <c r="BF4" s="2826"/>
      <c r="BG4" s="2826"/>
      <c r="BH4" s="2826"/>
      <c r="BI4" s="2826"/>
      <c r="BJ4" s="2826"/>
      <c r="BK4" s="2826"/>
      <c r="BL4" s="2826"/>
      <c r="BM4" s="2826"/>
      <c r="BN4" s="2826"/>
      <c r="BO4" s="2827"/>
      <c r="BP4" s="2419" t="s">
        <v>376</v>
      </c>
      <c r="BQ4" s="2930" t="str">
        <f>CONCATENATE("Qui gère l'école que fréquente [NOM] au cours de l'année ",Variables!C3, " ?")</f>
        <v>Qui gère l'école que fréquente [NOM] au cours de l'année 2020/2021 ?</v>
      </c>
      <c r="BR4" s="2928" t="str">
        <f>CONCATENATE("Quel est le montant des frais de scolarité (y compris les frais d'inscription) pour l’année",Variables!C3, " ?")</f>
        <v>Quel est le montant des frais de scolarité (y compris les frais d'inscription) pour l’année2020/2021 ?</v>
      </c>
      <c r="BS4" s="2981" t="str">
        <f>CONCATENATE("Quel est le montant des cotisations pour l'année scolaire ", Variables!C3, " ?")</f>
        <v>Quel est le montant des cotisations pour l'année scolaire 2020/2021 ?</v>
      </c>
      <c r="BT4" s="2930" t="str">
        <f>CONCATENATE("Quel est le montant des frais de fournitures de [NOM] (livres, cahiers) pour l'année scolaire ", Variables!C3, " ?")</f>
        <v>Quel est le montant des frais de fournitures de [NOM] (livres, cahiers) pour l'année scolaire 2020/2021 ?</v>
      </c>
      <c r="BU4" s="2904" t="str">
        <f>CONCATENATE("Quel est le montant des frais pour les  autres matériels scolaires pour l'année scolaire ", Variables!C3, " ?")</f>
        <v>Quel est le montant des frais pour les  autres matériels scolaires pour l'année scolaire 2020/2021 ?</v>
      </c>
      <c r="BV4" s="2904" t="str">
        <f>CONCATENATE("Quel est le montant des frais d'uniformes de [NOM]  pour l'année scolaire ", Variables!C3, " ?")</f>
        <v>Quel est le montant des frais d'uniformes de [NOM]  pour l'année scolaire 2020/2021 ?</v>
      </c>
      <c r="BW4" s="2767"/>
      <c r="BX4" s="2904" t="str">
        <f>CONCATENATE("Quel est le montant des frais de cantine scolaire ou de restauration de [NOM] pour l'année scolaire ", Variables!C3, " ?")</f>
        <v>Quel est le montant des frais de cantine scolaire ou de restauration de [NOM] pour l'année scolaire 2020/2021 ?</v>
      </c>
      <c r="BY4" s="2904" t="str">
        <f>CONCATENATE("Quel est le montant des frais de transport scolaire de [NOM] pour l'année scolaire ", Variables!C3, " ?")</f>
        <v>Quel est le montant des frais de transport scolaire de [NOM] pour l'année scolaire 2020/2021 ?</v>
      </c>
      <c r="BZ4" s="2904" t="str">
        <f>CONCATENATE("Quel est le montant des autres dépenses scolaires (cours de soutien ou de répétition, etc.) pour l'année ",Variables!C3, " ?")</f>
        <v>Quel est le montant des autres dépenses scolaires (cours de soutien ou de répétition, etc.) pour l'année 2020/2021 ?</v>
      </c>
      <c r="CA4" s="2898" t="s">
        <v>377</v>
      </c>
      <c r="CB4" s="2927" t="s">
        <v>378</v>
      </c>
      <c r="CC4" s="2898" t="s">
        <v>379</v>
      </c>
      <c r="CD4" s="2898" t="s">
        <v>380</v>
      </c>
      <c r="CE4" s="2783" t="s">
        <v>381</v>
      </c>
      <c r="CF4" s="2783" t="s">
        <v>382</v>
      </c>
    </row>
    <row r="5" spans="1:85" ht="15.75" customHeight="1" x14ac:dyDescent="0.25">
      <c r="A5" s="2767"/>
      <c r="B5" s="2947"/>
      <c r="C5" s="2836"/>
      <c r="D5" s="2837"/>
      <c r="E5" s="2946"/>
      <c r="F5" s="2836"/>
      <c r="G5" s="2837"/>
      <c r="H5" s="2837"/>
      <c r="I5" s="2856"/>
      <c r="J5" s="2857"/>
      <c r="K5" s="2858"/>
      <c r="L5" s="2936"/>
      <c r="M5" s="2934"/>
      <c r="N5" s="2857"/>
      <c r="O5" s="2857"/>
      <c r="P5" s="2935"/>
      <c r="Q5" s="2891"/>
      <c r="R5" s="2783"/>
      <c r="S5" s="2787"/>
      <c r="T5" s="2899"/>
      <c r="U5" s="2767"/>
      <c r="V5" s="2883"/>
      <c r="W5" s="2950"/>
      <c r="X5" s="2796"/>
      <c r="Y5" s="2987"/>
      <c r="Z5" s="2961"/>
      <c r="AA5" s="2962"/>
      <c r="AB5" s="2962"/>
      <c r="AC5" s="2962"/>
      <c r="AD5" s="2962"/>
      <c r="AE5" s="2963"/>
      <c r="AF5" s="2882"/>
      <c r="AG5" s="2901"/>
      <c r="AH5" s="2902"/>
      <c r="AI5" s="2902"/>
      <c r="AJ5" s="2902"/>
      <c r="AK5" s="2902"/>
      <c r="AL5" s="2902"/>
      <c r="AM5" s="2902"/>
      <c r="AN5" s="2903"/>
      <c r="AO5" s="2883"/>
      <c r="AP5" s="2783"/>
      <c r="AQ5" s="2949"/>
      <c r="AR5" s="2891"/>
      <c r="AS5" s="2891"/>
      <c r="AT5" s="2882"/>
      <c r="AU5" s="2958"/>
      <c r="AV5" s="2959"/>
      <c r="AW5" s="2959"/>
      <c r="AX5" s="2960"/>
      <c r="AY5" s="2927"/>
      <c r="AZ5" s="2898"/>
      <c r="BA5" s="2904"/>
      <c r="BB5" s="2767"/>
      <c r="BC5" s="2899"/>
      <c r="BD5" s="2825"/>
      <c r="BE5" s="2826"/>
      <c r="BF5" s="2826"/>
      <c r="BG5" s="2826"/>
      <c r="BH5" s="2826"/>
      <c r="BI5" s="2826"/>
      <c r="BJ5" s="2826"/>
      <c r="BK5" s="2826"/>
      <c r="BL5" s="2826"/>
      <c r="BM5" s="2826"/>
      <c r="BN5" s="2826"/>
      <c r="BO5" s="2827"/>
      <c r="BP5" s="239"/>
      <c r="BQ5" s="2930"/>
      <c r="BR5" s="2928"/>
      <c r="BS5" s="2982"/>
      <c r="BT5" s="2930"/>
      <c r="BU5" s="2904"/>
      <c r="BV5" s="2904"/>
      <c r="BW5" s="2767"/>
      <c r="BX5" s="2904"/>
      <c r="BY5" s="2904"/>
      <c r="BZ5" s="2904"/>
      <c r="CA5" s="2898"/>
      <c r="CB5" s="2927"/>
      <c r="CC5" s="2898"/>
      <c r="CD5" s="2898"/>
      <c r="CE5" s="2783"/>
      <c r="CF5" s="2783"/>
    </row>
    <row r="6" spans="1:85" ht="13.5" customHeight="1" x14ac:dyDescent="0.25">
      <c r="A6" s="2767"/>
      <c r="B6" s="2947"/>
      <c r="C6" s="2836"/>
      <c r="D6" s="2837"/>
      <c r="E6" s="2946"/>
      <c r="F6" s="2836"/>
      <c r="G6" s="2837"/>
      <c r="H6" s="2837"/>
      <c r="I6" s="2856"/>
      <c r="J6" s="2857"/>
      <c r="K6" s="2858"/>
      <c r="L6" s="2936"/>
      <c r="M6" s="2934"/>
      <c r="N6" s="2857"/>
      <c r="O6" s="2857"/>
      <c r="P6" s="2935"/>
      <c r="Q6" s="2891"/>
      <c r="R6" s="2783"/>
      <c r="S6" s="2787"/>
      <c r="T6" s="2899"/>
      <c r="U6" s="2767"/>
      <c r="V6" s="2883"/>
      <c r="W6" s="2950"/>
      <c r="X6" s="2796"/>
      <c r="Y6" s="2987"/>
      <c r="Z6" s="2961"/>
      <c r="AA6" s="2962"/>
      <c r="AB6" s="2962"/>
      <c r="AC6" s="2962"/>
      <c r="AD6" s="2962"/>
      <c r="AE6" s="2963"/>
      <c r="AF6" s="2882"/>
      <c r="AG6" s="2901"/>
      <c r="AH6" s="2902"/>
      <c r="AI6" s="2902"/>
      <c r="AJ6" s="2902"/>
      <c r="AK6" s="2902"/>
      <c r="AL6" s="2902"/>
      <c r="AM6" s="2902"/>
      <c r="AN6" s="2903"/>
      <c r="AO6" s="2883"/>
      <c r="AP6" s="2783"/>
      <c r="AQ6" s="2949"/>
      <c r="AR6" s="2891"/>
      <c r="AS6" s="2891"/>
      <c r="AT6" s="2882"/>
      <c r="AU6" s="2952" t="s">
        <v>383</v>
      </c>
      <c r="AV6" s="2821"/>
      <c r="AW6" s="2821"/>
      <c r="AX6" s="2953"/>
      <c r="AY6" s="2927"/>
      <c r="AZ6" s="2382"/>
      <c r="BA6" s="2904"/>
      <c r="BB6" s="2767"/>
      <c r="BC6" s="2899"/>
      <c r="BD6" s="2825"/>
      <c r="BE6" s="2826"/>
      <c r="BF6" s="2826"/>
      <c r="BG6" s="2826"/>
      <c r="BH6" s="2826"/>
      <c r="BI6" s="2826"/>
      <c r="BJ6" s="2826"/>
      <c r="BK6" s="2826"/>
      <c r="BL6" s="2826"/>
      <c r="BM6" s="2826"/>
      <c r="BN6" s="2826"/>
      <c r="BO6" s="2827"/>
      <c r="BP6" s="239"/>
      <c r="BQ6" s="2930"/>
      <c r="BR6" s="2928"/>
      <c r="BS6" s="2982"/>
      <c r="BT6" s="2930"/>
      <c r="BU6" s="2904"/>
      <c r="BV6" s="2904"/>
      <c r="BW6" s="2767"/>
      <c r="BX6" s="2904"/>
      <c r="BY6" s="2904"/>
      <c r="BZ6" s="2904"/>
      <c r="CA6" s="2898"/>
      <c r="CB6" s="2927"/>
      <c r="CC6" s="2382"/>
      <c r="CD6" s="2898"/>
      <c r="CE6" s="2783"/>
      <c r="CF6" s="2783"/>
    </row>
    <row r="7" spans="1:85" ht="13.5" customHeight="1" x14ac:dyDescent="0.25">
      <c r="A7" s="2767"/>
      <c r="B7" s="2947"/>
      <c r="C7" s="2836"/>
      <c r="D7" s="2837"/>
      <c r="E7" s="2946"/>
      <c r="F7" s="2836"/>
      <c r="G7" s="2837"/>
      <c r="H7" s="2837"/>
      <c r="I7" s="2856"/>
      <c r="J7" s="2857"/>
      <c r="K7" s="2858"/>
      <c r="L7" s="2936"/>
      <c r="M7" s="2934"/>
      <c r="N7" s="2857"/>
      <c r="O7" s="2857"/>
      <c r="P7" s="2935"/>
      <c r="Q7" s="2891"/>
      <c r="R7" s="2783"/>
      <c r="S7" s="2787"/>
      <c r="T7" s="2899"/>
      <c r="U7" s="2767"/>
      <c r="V7" s="2883"/>
      <c r="W7" s="2950"/>
      <c r="X7" s="2796"/>
      <c r="Y7" s="2987"/>
      <c r="Z7" s="2961"/>
      <c r="AA7" s="2962"/>
      <c r="AB7" s="2962"/>
      <c r="AC7" s="2962"/>
      <c r="AD7" s="2962"/>
      <c r="AE7" s="2963"/>
      <c r="AF7" s="2882"/>
      <c r="AG7" s="2901"/>
      <c r="AH7" s="2902"/>
      <c r="AI7" s="2902"/>
      <c r="AJ7" s="2902"/>
      <c r="AK7" s="2902"/>
      <c r="AL7" s="2902"/>
      <c r="AM7" s="2902"/>
      <c r="AN7" s="2903"/>
      <c r="AO7" s="2883"/>
      <c r="AP7" s="2783"/>
      <c r="AQ7" s="2949"/>
      <c r="AR7" s="2891"/>
      <c r="AS7" s="2891"/>
      <c r="AT7" s="2882"/>
      <c r="AU7" s="2952"/>
      <c r="AV7" s="2821"/>
      <c r="AW7" s="2821"/>
      <c r="AX7" s="2953"/>
      <c r="AY7" s="1564"/>
      <c r="AZ7" s="2898" t="s">
        <v>384</v>
      </c>
      <c r="BA7" s="2904"/>
      <c r="BB7" s="2767"/>
      <c r="BC7" s="2899"/>
      <c r="BD7" s="2825"/>
      <c r="BE7" s="2826"/>
      <c r="BF7" s="2826"/>
      <c r="BG7" s="2826"/>
      <c r="BH7" s="2826"/>
      <c r="BI7" s="2826"/>
      <c r="BJ7" s="2826"/>
      <c r="BK7" s="2826"/>
      <c r="BL7" s="2826"/>
      <c r="BM7" s="2826"/>
      <c r="BN7" s="2826"/>
      <c r="BO7" s="2827"/>
      <c r="BP7" s="239"/>
      <c r="BQ7" s="2930"/>
      <c r="BR7" s="2928"/>
      <c r="BS7" s="2982"/>
      <c r="BT7" s="2930"/>
      <c r="BU7" s="2904"/>
      <c r="BV7" s="2904"/>
      <c r="BW7" s="2767"/>
      <c r="BX7" s="2904"/>
      <c r="BY7" s="2904"/>
      <c r="BZ7" s="2904"/>
      <c r="CA7" s="2898"/>
      <c r="CB7" s="2927"/>
      <c r="CC7" s="2898" t="s">
        <v>384</v>
      </c>
      <c r="CD7" s="2898"/>
      <c r="CE7" s="2783"/>
      <c r="CF7" s="2783"/>
    </row>
    <row r="8" spans="1:85" ht="13.5" customHeight="1" x14ac:dyDescent="0.25">
      <c r="A8" s="2767"/>
      <c r="B8" s="2947"/>
      <c r="C8" s="2426"/>
      <c r="D8" s="2427"/>
      <c r="E8" s="2428"/>
      <c r="F8" s="2426"/>
      <c r="G8" s="2427"/>
      <c r="H8" s="2427"/>
      <c r="I8" s="2430"/>
      <c r="J8" s="2422"/>
      <c r="K8" s="2423"/>
      <c r="L8" s="2936"/>
      <c r="M8" s="2888" t="s">
        <v>385</v>
      </c>
      <c r="N8" s="2889"/>
      <c r="O8" s="2889"/>
      <c r="P8" s="2890"/>
      <c r="Q8" s="2891"/>
      <c r="R8" s="2783"/>
      <c r="S8" s="2787"/>
      <c r="T8" s="2899"/>
      <c r="U8" s="2767"/>
      <c r="V8" s="2883"/>
      <c r="W8" s="2950"/>
      <c r="X8" s="2796"/>
      <c r="Y8" s="2987"/>
      <c r="Z8" s="2961"/>
      <c r="AA8" s="2962"/>
      <c r="AB8" s="2962"/>
      <c r="AC8" s="2962"/>
      <c r="AD8" s="2962"/>
      <c r="AE8" s="2963"/>
      <c r="AF8" s="2882"/>
      <c r="AG8" s="2901"/>
      <c r="AH8" s="2902"/>
      <c r="AI8" s="2902"/>
      <c r="AJ8" s="2902"/>
      <c r="AK8" s="2902"/>
      <c r="AL8" s="2902"/>
      <c r="AM8" s="2902"/>
      <c r="AN8" s="2903"/>
      <c r="AO8" s="2783"/>
      <c r="AP8" s="161"/>
      <c r="AQ8" s="2949"/>
      <c r="AR8" s="2891"/>
      <c r="AS8" s="2891"/>
      <c r="AT8" s="2882"/>
      <c r="AU8" s="2952"/>
      <c r="AV8" s="2821"/>
      <c r="AW8" s="2821"/>
      <c r="AX8" s="2953"/>
      <c r="AY8" s="1564"/>
      <c r="AZ8" s="2898"/>
      <c r="BA8" s="2904"/>
      <c r="BB8" s="2767"/>
      <c r="BC8" s="2899"/>
      <c r="BD8" s="2825"/>
      <c r="BE8" s="2826"/>
      <c r="BF8" s="2826"/>
      <c r="BG8" s="2826"/>
      <c r="BH8" s="2826"/>
      <c r="BI8" s="2826"/>
      <c r="BJ8" s="2826"/>
      <c r="BK8" s="2826"/>
      <c r="BL8" s="2826"/>
      <c r="BM8" s="2826"/>
      <c r="BN8" s="2826"/>
      <c r="BO8" s="2827"/>
      <c r="BP8" s="240"/>
      <c r="BQ8" s="2930"/>
      <c r="BR8" s="2928"/>
      <c r="BS8" s="2982"/>
      <c r="BT8" s="2930"/>
      <c r="BU8" s="2904"/>
      <c r="BV8" s="2904"/>
      <c r="BW8" s="2767"/>
      <c r="BX8" s="2904"/>
      <c r="BY8" s="2904"/>
      <c r="BZ8" s="2904"/>
      <c r="CA8" s="2898"/>
      <c r="CB8" s="2927"/>
      <c r="CC8" s="2898"/>
      <c r="CD8" s="2898"/>
      <c r="CE8" s="2783"/>
      <c r="CF8" s="2453"/>
    </row>
    <row r="9" spans="1:85" ht="13.5" customHeight="1" x14ac:dyDescent="0.25">
      <c r="A9" s="2767"/>
      <c r="B9" s="2947"/>
      <c r="C9" s="2426"/>
      <c r="D9" s="2427"/>
      <c r="E9" s="2428"/>
      <c r="F9" s="2426"/>
      <c r="G9" s="2427"/>
      <c r="H9" s="2427"/>
      <c r="I9" s="2430"/>
      <c r="J9" s="2422"/>
      <c r="K9" s="2423"/>
      <c r="L9" s="2936"/>
      <c r="M9" s="2784" t="s">
        <v>386</v>
      </c>
      <c r="N9" s="2785"/>
      <c r="O9" s="2785"/>
      <c r="P9" s="2787"/>
      <c r="Q9" s="2891"/>
      <c r="R9" s="2783"/>
      <c r="S9" s="2787"/>
      <c r="T9" s="2899"/>
      <c r="U9" s="2767"/>
      <c r="V9" s="2883"/>
      <c r="W9" s="241"/>
      <c r="X9" s="2796"/>
      <c r="Y9" s="2987"/>
      <c r="Z9" s="1921"/>
      <c r="AA9" s="1720"/>
      <c r="AB9" s="1720"/>
      <c r="AC9" s="1721"/>
      <c r="AD9" s="1721"/>
      <c r="AE9" s="1922"/>
      <c r="AF9" s="2882"/>
      <c r="AG9" s="1719"/>
      <c r="AH9" s="1720"/>
      <c r="AI9" s="1720"/>
      <c r="AJ9" s="1721"/>
      <c r="AK9" s="1721"/>
      <c r="AL9" s="1721"/>
      <c r="AM9" s="1721"/>
      <c r="AN9" s="1722"/>
      <c r="AO9" s="2783"/>
      <c r="AP9" s="240" t="s">
        <v>387</v>
      </c>
      <c r="AQ9" s="2949"/>
      <c r="AR9" s="2891"/>
      <c r="AS9" s="1777"/>
      <c r="AT9" s="1806"/>
      <c r="AU9" s="2952"/>
      <c r="AV9" s="2821"/>
      <c r="AW9" s="2821"/>
      <c r="AX9" s="2953"/>
      <c r="AY9" s="1328" t="s">
        <v>388</v>
      </c>
      <c r="AZ9" s="2898"/>
      <c r="BA9" s="2904"/>
      <c r="BB9" s="2767"/>
      <c r="BC9" s="2954"/>
      <c r="BD9" s="161"/>
      <c r="BE9" s="162"/>
      <c r="BF9" s="162"/>
      <c r="BG9" s="242"/>
      <c r="BH9" s="242"/>
      <c r="BI9" s="242"/>
      <c r="BJ9" s="242"/>
      <c r="BK9" s="242"/>
      <c r="BL9" s="242"/>
      <c r="BM9" s="242"/>
      <c r="BN9" s="242"/>
      <c r="BO9" s="243"/>
      <c r="BP9" s="244" t="s">
        <v>389</v>
      </c>
      <c r="BQ9" s="244" t="s">
        <v>390</v>
      </c>
      <c r="BR9" s="2928"/>
      <c r="BS9" s="2982"/>
      <c r="BT9" s="2930"/>
      <c r="BU9" s="2904"/>
      <c r="BV9" s="2904"/>
      <c r="BW9" s="2767"/>
      <c r="BX9" s="2904"/>
      <c r="BY9" s="2904"/>
      <c r="BZ9" s="2904"/>
      <c r="CA9" s="2898"/>
      <c r="CB9" s="2927"/>
      <c r="CC9" s="2898"/>
      <c r="CD9" s="2898"/>
      <c r="CE9" s="2783"/>
      <c r="CF9" s="2407" t="s">
        <v>391</v>
      </c>
    </row>
    <row r="10" spans="1:85" ht="13.5" customHeight="1" x14ac:dyDescent="0.25">
      <c r="A10" s="2767"/>
      <c r="B10" s="2947"/>
      <c r="C10" s="2836" t="s">
        <v>392</v>
      </c>
      <c r="D10" s="2837"/>
      <c r="E10" s="2946"/>
      <c r="F10" s="2836" t="s">
        <v>392</v>
      </c>
      <c r="G10" s="2837"/>
      <c r="H10" s="2837"/>
      <c r="I10" s="2859" t="s">
        <v>392</v>
      </c>
      <c r="J10" s="2860"/>
      <c r="K10" s="2861"/>
      <c r="L10" s="2936"/>
      <c r="M10" s="2886" t="s">
        <v>393</v>
      </c>
      <c r="N10" s="2887"/>
      <c r="O10" s="2887"/>
      <c r="P10" s="2885"/>
      <c r="Q10" s="2891"/>
      <c r="R10" s="2783"/>
      <c r="S10" s="2787"/>
      <c r="T10" s="2899"/>
      <c r="U10" s="2767"/>
      <c r="V10" s="2883"/>
      <c r="W10" s="241" t="s">
        <v>394</v>
      </c>
      <c r="X10" s="1723"/>
      <c r="Y10" s="2987"/>
      <c r="Z10" s="2964" t="s">
        <v>395</v>
      </c>
      <c r="AA10" s="2907"/>
      <c r="AB10" s="2907"/>
      <c r="AC10" s="2907"/>
      <c r="AD10" s="2907"/>
      <c r="AE10" s="2965"/>
      <c r="AF10" s="1925"/>
      <c r="AG10" s="2906" t="s">
        <v>395</v>
      </c>
      <c r="AH10" s="2907"/>
      <c r="AI10" s="2907"/>
      <c r="AJ10" s="2907"/>
      <c r="AK10" s="2907"/>
      <c r="AL10" s="2907"/>
      <c r="AM10" s="2907"/>
      <c r="AN10" s="2908"/>
      <c r="AO10" s="2783" t="str">
        <f>CONCATENATE("1 Diplômé, études achevées ►(",ROUND(AQ3,2),")")</f>
        <v>1 Diplômé, études achevées ►(2.12)</v>
      </c>
      <c r="AP10" s="240" t="s">
        <v>396</v>
      </c>
      <c r="AQ10" s="2949"/>
      <c r="AR10" s="2891"/>
      <c r="AS10" s="2891" t="s">
        <v>397</v>
      </c>
      <c r="AT10" s="1710" t="s">
        <v>227</v>
      </c>
      <c r="AU10" s="2952"/>
      <c r="AV10" s="2821"/>
      <c r="AW10" s="2821"/>
      <c r="AX10" s="2953"/>
      <c r="AY10" s="1564"/>
      <c r="AZ10" s="2898"/>
      <c r="BA10" s="2904"/>
      <c r="BB10" s="2767"/>
      <c r="BC10" s="247"/>
      <c r="BD10" s="2978" t="s">
        <v>395</v>
      </c>
      <c r="BE10" s="2979"/>
      <c r="BF10" s="2979"/>
      <c r="BG10" s="2979"/>
      <c r="BH10" s="2979"/>
      <c r="BI10" s="2979"/>
      <c r="BJ10" s="2979"/>
      <c r="BK10" s="2979"/>
      <c r="BL10" s="2979"/>
      <c r="BM10" s="2979"/>
      <c r="BN10" s="2979"/>
      <c r="BO10" s="2980"/>
      <c r="BP10" s="244" t="s">
        <v>398</v>
      </c>
      <c r="BQ10" s="2351" t="s">
        <v>399</v>
      </c>
      <c r="BR10" s="2928"/>
      <c r="BS10" s="2982"/>
      <c r="BT10" s="2930"/>
      <c r="BU10" s="2904"/>
      <c r="BV10" s="2904"/>
      <c r="BW10" s="2767"/>
      <c r="BX10" s="2904"/>
      <c r="BY10" s="2904"/>
      <c r="BZ10" s="2904"/>
      <c r="CA10" s="2898"/>
      <c r="CB10" s="1328"/>
      <c r="CC10" s="2898"/>
      <c r="CD10" s="10"/>
      <c r="CE10" s="2783"/>
      <c r="CF10" s="2468" t="s">
        <v>400</v>
      </c>
    </row>
    <row r="11" spans="1:85" ht="13.5" customHeight="1" x14ac:dyDescent="0.25">
      <c r="A11" s="2767"/>
      <c r="B11" s="2947"/>
      <c r="C11" s="2941" t="s">
        <v>401</v>
      </c>
      <c r="D11" s="2942"/>
      <c r="E11" s="2943"/>
      <c r="F11" s="2941" t="s">
        <v>401</v>
      </c>
      <c r="G11" s="2942"/>
      <c r="H11" s="2942"/>
      <c r="I11" s="2862" t="s">
        <v>401</v>
      </c>
      <c r="J11" s="2863"/>
      <c r="K11" s="2863"/>
      <c r="L11" s="1838"/>
      <c r="M11" s="2886" t="s">
        <v>402</v>
      </c>
      <c r="N11" s="2887"/>
      <c r="O11" s="2887"/>
      <c r="P11" s="2885"/>
      <c r="Q11" s="2891"/>
      <c r="R11" s="2783"/>
      <c r="S11" s="2427"/>
      <c r="T11" s="2899"/>
      <c r="U11" s="2767"/>
      <c r="V11" s="2883"/>
      <c r="W11" s="2352" t="s">
        <v>403</v>
      </c>
      <c r="X11" s="1725"/>
      <c r="Y11" s="2987"/>
      <c r="Z11" s="2966" t="s">
        <v>404</v>
      </c>
      <c r="AA11" s="2910"/>
      <c r="AB11" s="2910"/>
      <c r="AC11" s="2911"/>
      <c r="AD11" s="2911"/>
      <c r="AE11" s="2967"/>
      <c r="AF11" s="2397"/>
      <c r="AG11" s="2909" t="s">
        <v>404</v>
      </c>
      <c r="AH11" s="2910"/>
      <c r="AI11" s="2910"/>
      <c r="AJ11" s="2911"/>
      <c r="AK11" s="2911"/>
      <c r="AL11" s="2911"/>
      <c r="AM11" s="2911"/>
      <c r="AN11" s="2912"/>
      <c r="AO11" s="2783"/>
      <c r="AP11" s="240" t="s">
        <v>405</v>
      </c>
      <c r="AQ11" s="238"/>
      <c r="AR11" s="2891"/>
      <c r="AS11" s="2891"/>
      <c r="AT11" s="1710" t="s">
        <v>240</v>
      </c>
      <c r="AU11" s="2952"/>
      <c r="AV11" s="2821"/>
      <c r="AW11" s="2821"/>
      <c r="AX11" s="2953"/>
      <c r="AY11" s="1528" t="str">
        <f>CONCATENATE("1 Maternelle ►(",TEXT(BA3,"0.00"),")")</f>
        <v>1 Maternelle ►(2.16)</v>
      </c>
      <c r="AZ11" s="2898" t="s">
        <v>406</v>
      </c>
      <c r="BA11" s="2382"/>
      <c r="BB11" s="2767"/>
      <c r="BC11" s="250"/>
      <c r="BD11" s="2920" t="s">
        <v>404</v>
      </c>
      <c r="BE11" s="2921"/>
      <c r="BF11" s="2921"/>
      <c r="BG11" s="2922"/>
      <c r="BH11" s="2922"/>
      <c r="BI11" s="2922"/>
      <c r="BJ11" s="2922"/>
      <c r="BK11" s="2922"/>
      <c r="BL11" s="2922"/>
      <c r="BM11" s="2922"/>
      <c r="BN11" s="2922"/>
      <c r="BO11" s="2923"/>
      <c r="BP11" s="244" t="s">
        <v>407</v>
      </c>
      <c r="BQ11" s="244" t="s">
        <v>408</v>
      </c>
      <c r="BR11" s="2928"/>
      <c r="BS11" s="2982"/>
      <c r="BT11" s="2930"/>
      <c r="BU11" s="2904"/>
      <c r="BV11" s="2904"/>
      <c r="BW11" s="2767"/>
      <c r="BX11" s="2904"/>
      <c r="BY11" s="2904"/>
      <c r="BZ11" s="2904"/>
      <c r="CA11" s="2898"/>
      <c r="CB11" s="1528" t="str">
        <f>CONCATENATE("1 Maternelle ►(",TEXT(CD3,"0.00"),")")</f>
        <v>1 Maternelle ►(2.31)</v>
      </c>
      <c r="CC11" s="2898" t="s">
        <v>406</v>
      </c>
      <c r="CD11" s="2382" t="s">
        <v>409</v>
      </c>
      <c r="CE11" s="251"/>
      <c r="CF11" s="2407" t="s">
        <v>410</v>
      </c>
    </row>
    <row r="12" spans="1:85" ht="13.5" customHeight="1" x14ac:dyDescent="0.25">
      <c r="A12" s="2767"/>
      <c r="B12" s="2947"/>
      <c r="C12" s="890" t="s">
        <v>74</v>
      </c>
      <c r="D12" s="890" t="s">
        <v>109</v>
      </c>
      <c r="E12" s="890" t="s">
        <v>131</v>
      </c>
      <c r="F12" s="890" t="s">
        <v>74</v>
      </c>
      <c r="G12" s="890" t="s">
        <v>109</v>
      </c>
      <c r="H12" s="1830" t="s">
        <v>131</v>
      </c>
      <c r="I12" s="1917" t="s">
        <v>74</v>
      </c>
      <c r="J12" s="1917" t="s">
        <v>109</v>
      </c>
      <c r="K12" s="1918" t="s">
        <v>131</v>
      </c>
      <c r="L12" s="1839"/>
      <c r="M12" s="2886" t="s">
        <v>411</v>
      </c>
      <c r="N12" s="2887"/>
      <c r="O12" s="2887"/>
      <c r="P12" s="2885"/>
      <c r="Q12" s="2891"/>
      <c r="R12" s="346"/>
      <c r="S12" s="2885" t="s">
        <v>412</v>
      </c>
      <c r="T12" s="2899"/>
      <c r="U12" s="2767"/>
      <c r="V12" s="2883"/>
      <c r="W12" s="241" t="s">
        <v>413</v>
      </c>
      <c r="X12" s="1726"/>
      <c r="Y12" s="1923"/>
      <c r="Z12" s="2968"/>
      <c r="AA12" s="2969"/>
      <c r="AB12" s="2969"/>
      <c r="AC12" s="2969"/>
      <c r="AD12" s="2969"/>
      <c r="AE12" s="2970"/>
      <c r="AF12" s="2397"/>
      <c r="AG12" s="2913"/>
      <c r="AH12" s="2911"/>
      <c r="AI12" s="2911"/>
      <c r="AJ12" s="2911"/>
      <c r="AK12" s="2911"/>
      <c r="AL12" s="2911"/>
      <c r="AM12" s="2911"/>
      <c r="AN12" s="2912"/>
      <c r="AO12" s="2951" t="str">
        <f>CONCATENATE("2 Passe en classe supérieure ►(",AQ3,")")</f>
        <v>2 Passe en classe supérieure ►(2.12)</v>
      </c>
      <c r="AP12" s="240" t="s">
        <v>414</v>
      </c>
      <c r="AQ12" s="238"/>
      <c r="AR12" s="2891"/>
      <c r="AS12" s="1777"/>
      <c r="AT12" s="1806"/>
      <c r="AU12" s="2952"/>
      <c r="AV12" s="2821"/>
      <c r="AW12" s="2821"/>
      <c r="AX12" s="2953"/>
      <c r="AY12" s="1529" t="str">
        <f>CONCATENATE("2 Primaire ►(",TEXT(BA3,"0.00"),")")</f>
        <v>2 Primaire ►(2.16)</v>
      </c>
      <c r="AZ12" s="2898"/>
      <c r="BA12" s="2382"/>
      <c r="BB12" s="2767"/>
      <c r="BC12" s="247" t="s">
        <v>415</v>
      </c>
      <c r="BD12" s="2924"/>
      <c r="BE12" s="2922"/>
      <c r="BF12" s="2922"/>
      <c r="BG12" s="2922"/>
      <c r="BH12" s="2922"/>
      <c r="BI12" s="2922"/>
      <c r="BJ12" s="2922"/>
      <c r="BK12" s="2922"/>
      <c r="BL12" s="2922"/>
      <c r="BM12" s="2922"/>
      <c r="BN12" s="2922"/>
      <c r="BO12" s="2923"/>
      <c r="BP12" s="244" t="s">
        <v>416</v>
      </c>
      <c r="BQ12" s="244" t="s">
        <v>417</v>
      </c>
      <c r="BR12" s="2928"/>
      <c r="BT12" s="2930"/>
      <c r="BU12" s="2904"/>
      <c r="BV12" s="2904"/>
      <c r="BW12" s="2767"/>
      <c r="BX12" s="2904"/>
      <c r="BY12" s="592"/>
      <c r="BZ12" s="592"/>
      <c r="CA12" s="2898"/>
      <c r="CB12" s="1529" t="str">
        <f>CONCATENATE("2 Primaire ►(",TEXT(CD3,"0.00"),")")</f>
        <v>2 Primaire ►(2.31)</v>
      </c>
      <c r="CC12" s="2898"/>
      <c r="CD12" s="2382" t="s">
        <v>418</v>
      </c>
      <c r="CE12" s="251"/>
      <c r="CF12" s="977" t="s">
        <v>419</v>
      </c>
    </row>
    <row r="13" spans="1:85" ht="13.5" customHeight="1" x14ac:dyDescent="0.25">
      <c r="A13" s="2767"/>
      <c r="B13" s="2947"/>
      <c r="C13" s="2937" t="s">
        <v>420</v>
      </c>
      <c r="D13" s="2944" t="s">
        <v>421</v>
      </c>
      <c r="E13" s="2948" t="s">
        <v>422</v>
      </c>
      <c r="F13" s="2937" t="s">
        <v>420</v>
      </c>
      <c r="G13" s="2944" t="s">
        <v>421</v>
      </c>
      <c r="H13" s="2939" t="s">
        <v>422</v>
      </c>
      <c r="I13" s="2864" t="s">
        <v>420</v>
      </c>
      <c r="J13" s="2866" t="s">
        <v>421</v>
      </c>
      <c r="K13" s="2868" t="s">
        <v>422</v>
      </c>
      <c r="L13" s="1839"/>
      <c r="M13" s="2886" t="s">
        <v>423</v>
      </c>
      <c r="N13" s="2887"/>
      <c r="O13" s="2887"/>
      <c r="P13" s="2885"/>
      <c r="Q13" s="1833"/>
      <c r="R13" s="2349" t="s">
        <v>227</v>
      </c>
      <c r="S13" s="2885"/>
      <c r="T13" s="2899"/>
      <c r="U13" s="2767"/>
      <c r="V13" s="2884"/>
      <c r="W13" s="241" t="s">
        <v>424</v>
      </c>
      <c r="X13" s="1726"/>
      <c r="Y13" s="1726"/>
      <c r="Z13" s="1926" t="s">
        <v>74</v>
      </c>
      <c r="AA13" s="1927" t="s">
        <v>109</v>
      </c>
      <c r="AB13" s="1927" t="s">
        <v>131</v>
      </c>
      <c r="AC13" s="1927" t="s">
        <v>238</v>
      </c>
      <c r="AD13" s="1927" t="s">
        <v>239</v>
      </c>
      <c r="AE13" s="1928" t="s">
        <v>425</v>
      </c>
      <c r="AF13" s="1724"/>
      <c r="AG13" s="1727" t="s">
        <v>74</v>
      </c>
      <c r="AH13" s="1728" t="s">
        <v>109</v>
      </c>
      <c r="AI13" s="1728" t="s">
        <v>131</v>
      </c>
      <c r="AJ13" s="1728" t="s">
        <v>238</v>
      </c>
      <c r="AK13" s="1728" t="s">
        <v>239</v>
      </c>
      <c r="AL13" s="1728" t="s">
        <v>426</v>
      </c>
      <c r="AM13" s="1728" t="s">
        <v>427</v>
      </c>
      <c r="AN13" s="1728" t="s">
        <v>425</v>
      </c>
      <c r="AO13" s="2951"/>
      <c r="AP13" s="2453" t="s">
        <v>428</v>
      </c>
      <c r="AQ13" s="240"/>
      <c r="AR13" s="1732"/>
      <c r="AS13" s="2891" t="s">
        <v>429</v>
      </c>
      <c r="AT13" s="1736"/>
      <c r="AU13" s="2952"/>
      <c r="AV13" s="2821"/>
      <c r="AW13" s="2821"/>
      <c r="AX13" s="2953"/>
      <c r="AY13" s="2927" t="str">
        <f>CONCATENATE("3 Secondaire 1 (Post Primaire) Général ►(",TEXT(BA3,"0.00"),")")</f>
        <v>3 Secondaire 1 (Post Primaire) Général ►(2.16)</v>
      </c>
      <c r="AZ13" s="2898" t="s">
        <v>430</v>
      </c>
      <c r="BA13" s="2382" t="s">
        <v>409</v>
      </c>
      <c r="BB13" s="2767"/>
      <c r="BC13" s="247" t="s">
        <v>431</v>
      </c>
      <c r="BD13" s="751" t="s">
        <v>74</v>
      </c>
      <c r="BE13" s="752" t="s">
        <v>109</v>
      </c>
      <c r="BF13" s="752" t="s">
        <v>131</v>
      </c>
      <c r="BG13" s="752" t="s">
        <v>238</v>
      </c>
      <c r="BH13" s="752" t="s">
        <v>239</v>
      </c>
      <c r="BI13" s="752" t="s">
        <v>426</v>
      </c>
      <c r="BJ13" s="752" t="s">
        <v>427</v>
      </c>
      <c r="BK13" s="752" t="s">
        <v>425</v>
      </c>
      <c r="BL13" s="752" t="s">
        <v>432</v>
      </c>
      <c r="BM13" s="1919" t="s">
        <v>433</v>
      </c>
      <c r="BN13" s="1919" t="s">
        <v>434</v>
      </c>
      <c r="BO13" s="1919" t="s">
        <v>435</v>
      </c>
      <c r="BP13" s="244" t="s">
        <v>436</v>
      </c>
      <c r="BQ13" s="244" t="s">
        <v>437</v>
      </c>
      <c r="BR13" s="2928"/>
      <c r="BT13" s="2930"/>
      <c r="BU13" s="2904"/>
      <c r="BV13" s="2904"/>
      <c r="BW13" s="2767"/>
      <c r="BX13" s="2904"/>
      <c r="BY13" s="592"/>
      <c r="BZ13" s="592"/>
      <c r="CA13" s="747"/>
      <c r="CB13" s="2927" t="str">
        <f>CONCATENATE("3 Secondaire 1 (Post Primaire) Général ►(",TEXT(CD3,"0.00"),")")</f>
        <v>3 Secondaire 1 (Post Primaire) Général ►(2.31)</v>
      </c>
      <c r="CC13" s="2898" t="s">
        <v>430</v>
      </c>
      <c r="CD13" s="2382" t="s">
        <v>438</v>
      </c>
      <c r="CE13" s="2772" t="s">
        <v>439</v>
      </c>
      <c r="CF13" s="977" t="s">
        <v>440</v>
      </c>
    </row>
    <row r="14" spans="1:85" ht="13.5" customHeight="1" x14ac:dyDescent="0.25">
      <c r="A14" s="2767"/>
      <c r="B14" s="2947"/>
      <c r="C14" s="2937"/>
      <c r="D14" s="2944"/>
      <c r="E14" s="2948"/>
      <c r="F14" s="2937"/>
      <c r="G14" s="2944"/>
      <c r="H14" s="2939"/>
      <c r="I14" s="2864"/>
      <c r="J14" s="2866"/>
      <c r="K14" s="2868"/>
      <c r="L14" s="1840"/>
      <c r="M14" s="2886" t="s">
        <v>441</v>
      </c>
      <c r="N14" s="2887"/>
      <c r="O14" s="2887"/>
      <c r="P14" s="2885"/>
      <c r="Q14" s="1736"/>
      <c r="R14" s="2932" t="s">
        <v>442</v>
      </c>
      <c r="S14" s="2885" t="s">
        <v>443</v>
      </c>
      <c r="T14" s="1130"/>
      <c r="U14" s="2767"/>
      <c r="V14" s="2884"/>
      <c r="W14" s="241" t="s">
        <v>444</v>
      </c>
      <c r="X14" s="1725"/>
      <c r="Y14" s="2467"/>
      <c r="Z14" s="2872" t="s">
        <v>445</v>
      </c>
      <c r="AA14" s="2872" t="s">
        <v>446</v>
      </c>
      <c r="AB14" s="2872" t="s">
        <v>447</v>
      </c>
      <c r="AC14" s="2872" t="s">
        <v>448</v>
      </c>
      <c r="AD14" s="2914" t="s">
        <v>449</v>
      </c>
      <c r="AE14" s="2971" t="s">
        <v>450</v>
      </c>
      <c r="AF14" s="1724"/>
      <c r="AG14" s="2872" t="s">
        <v>451</v>
      </c>
      <c r="AH14" s="2872" t="s">
        <v>452</v>
      </c>
      <c r="AI14" s="2872" t="s">
        <v>453</v>
      </c>
      <c r="AJ14" s="2872" t="s">
        <v>454</v>
      </c>
      <c r="AK14" s="2914" t="s">
        <v>455</v>
      </c>
      <c r="AL14" s="2872" t="s">
        <v>456</v>
      </c>
      <c r="AM14" s="2872" t="s">
        <v>457</v>
      </c>
      <c r="AN14" s="2872" t="s">
        <v>458</v>
      </c>
      <c r="AO14" s="2951" t="str">
        <f>CONCATENATE("3  Echec, redoublement ►(",AQ3,")")</f>
        <v>3  Echec, redoublement ►(2.12)</v>
      </c>
      <c r="AP14" s="161" t="s">
        <v>459</v>
      </c>
      <c r="AQ14" s="240"/>
      <c r="AR14" s="1732"/>
      <c r="AS14" s="2891"/>
      <c r="AT14" s="1736" t="str">
        <f>CONCATENATE("►► ","(",TEXT(CB3, "0.00"),")")</f>
        <v>►► (2.29)</v>
      </c>
      <c r="AU14" s="2952"/>
      <c r="AV14" s="2821"/>
      <c r="AW14" s="2821"/>
      <c r="AX14" s="2953"/>
      <c r="AY14" s="2927"/>
      <c r="AZ14" s="2898"/>
      <c r="BA14" s="2382" t="s">
        <v>418</v>
      </c>
      <c r="BB14" s="2767"/>
      <c r="BC14" s="247" t="s">
        <v>460</v>
      </c>
      <c r="BD14" s="2876" t="s">
        <v>461</v>
      </c>
      <c r="BE14" s="2876" t="s">
        <v>462</v>
      </c>
      <c r="BF14" s="2876" t="s">
        <v>463</v>
      </c>
      <c r="BG14" s="2876" t="s">
        <v>464</v>
      </c>
      <c r="BH14" s="2985" t="s">
        <v>465</v>
      </c>
      <c r="BI14" s="2876" t="s">
        <v>466</v>
      </c>
      <c r="BJ14" s="2876" t="s">
        <v>467</v>
      </c>
      <c r="BK14" s="2925" t="s">
        <v>468</v>
      </c>
      <c r="BL14" s="2983" t="s">
        <v>469</v>
      </c>
      <c r="BM14" s="2870" t="s">
        <v>470</v>
      </c>
      <c r="BN14" s="2870" t="s">
        <v>471</v>
      </c>
      <c r="BO14" s="2870" t="s">
        <v>472</v>
      </c>
      <c r="BP14" s="240"/>
      <c r="BQ14" s="244" t="s">
        <v>473</v>
      </c>
      <c r="BR14" s="1111"/>
      <c r="BT14" s="1118"/>
      <c r="BU14" s="1111"/>
      <c r="BV14" s="1111"/>
      <c r="BW14" s="2767"/>
      <c r="BX14" s="2904"/>
      <c r="BY14" s="592"/>
      <c r="BZ14" s="592"/>
      <c r="CA14" s="2977" t="s">
        <v>474</v>
      </c>
      <c r="CB14" s="2927"/>
      <c r="CC14" s="2898"/>
      <c r="CD14" s="2382" t="s">
        <v>475</v>
      </c>
      <c r="CE14" s="2772"/>
      <c r="CF14" s="977" t="s">
        <v>476</v>
      </c>
    </row>
    <row r="15" spans="1:85" ht="13.5" customHeight="1" x14ac:dyDescent="0.25">
      <c r="A15" s="2767"/>
      <c r="B15" s="2947"/>
      <c r="C15" s="2937"/>
      <c r="D15" s="2944"/>
      <c r="E15" s="2948"/>
      <c r="F15" s="2937"/>
      <c r="G15" s="2944"/>
      <c r="H15" s="2939"/>
      <c r="I15" s="2864"/>
      <c r="J15" s="2866"/>
      <c r="K15" s="2868"/>
      <c r="L15" s="1840"/>
      <c r="M15" s="2886" t="s">
        <v>477</v>
      </c>
      <c r="N15" s="2887"/>
      <c r="O15" s="2887"/>
      <c r="P15" s="2885"/>
      <c r="Q15" s="1736"/>
      <c r="R15" s="2932"/>
      <c r="S15" s="2885"/>
      <c r="T15" s="181"/>
      <c r="U15" s="2767"/>
      <c r="V15" s="252" t="s">
        <v>478</v>
      </c>
      <c r="W15" s="239" t="s">
        <v>479</v>
      </c>
      <c r="X15" s="2390" t="s">
        <v>227</v>
      </c>
      <c r="Y15" s="1724" t="s">
        <v>227</v>
      </c>
      <c r="Z15" s="2873"/>
      <c r="AA15" s="2873"/>
      <c r="AB15" s="2873"/>
      <c r="AC15" s="2873"/>
      <c r="AD15" s="2915"/>
      <c r="AE15" s="2972"/>
      <c r="AF15" s="1724" t="s">
        <v>227</v>
      </c>
      <c r="AG15" s="2873"/>
      <c r="AH15" s="2873"/>
      <c r="AI15" s="2873"/>
      <c r="AJ15" s="2873"/>
      <c r="AK15" s="2915"/>
      <c r="AL15" s="2873"/>
      <c r="AM15" s="2873"/>
      <c r="AN15" s="2873"/>
      <c r="AO15" s="2951"/>
      <c r="AP15" s="2387" t="s">
        <v>480</v>
      </c>
      <c r="AQ15" s="240"/>
      <c r="AR15" s="1732"/>
      <c r="AS15" s="1732"/>
      <c r="AT15" s="1736"/>
      <c r="AU15" s="2952"/>
      <c r="AV15" s="2821"/>
      <c r="AW15" s="2821"/>
      <c r="AX15" s="2953"/>
      <c r="AY15" s="2927" t="str">
        <f>CONCATENATE("4 Secondaire 1 (Post Primaire) Technique")</f>
        <v>4 Secondaire 1 (Post Primaire) Technique</v>
      </c>
      <c r="AZ15" s="2898"/>
      <c r="BA15" s="2382" t="s">
        <v>438</v>
      </c>
      <c r="BB15" s="2767"/>
      <c r="BC15" s="2875" t="s">
        <v>481</v>
      </c>
      <c r="BD15" s="2877"/>
      <c r="BE15" s="2877"/>
      <c r="BF15" s="2877"/>
      <c r="BG15" s="2877"/>
      <c r="BH15" s="2986"/>
      <c r="BI15" s="2877"/>
      <c r="BJ15" s="2877"/>
      <c r="BK15" s="2926"/>
      <c r="BL15" s="2984"/>
      <c r="BM15" s="2871"/>
      <c r="BN15" s="2871"/>
      <c r="BO15" s="2871"/>
      <c r="BP15" s="240"/>
      <c r="BQ15" s="240"/>
      <c r="BR15" s="2905" t="s">
        <v>482</v>
      </c>
      <c r="BS15" s="2929" t="s">
        <v>482</v>
      </c>
      <c r="BT15" s="2976" t="s">
        <v>482</v>
      </c>
      <c r="BU15" s="2905" t="s">
        <v>482</v>
      </c>
      <c r="BV15" s="2905" t="s">
        <v>482</v>
      </c>
      <c r="BW15" s="2767"/>
      <c r="BX15" s="2905" t="s">
        <v>482</v>
      </c>
      <c r="BY15" s="2905" t="s">
        <v>482</v>
      </c>
      <c r="BZ15" s="2905" t="s">
        <v>482</v>
      </c>
      <c r="CA15" s="2977"/>
      <c r="CB15" s="2927" t="str">
        <f>CONCATENATE("4 Secondaire 1 (Post Primaire) Technique")</f>
        <v>4 Secondaire 1 (Post Primaire) Technique</v>
      </c>
      <c r="CC15" s="2898"/>
      <c r="CD15" s="2382" t="s">
        <v>483</v>
      </c>
      <c r="CE15" s="668"/>
      <c r="CF15" s="977" t="s">
        <v>484</v>
      </c>
    </row>
    <row r="16" spans="1:85" ht="13.5" customHeight="1" x14ac:dyDescent="0.25">
      <c r="A16" s="2767"/>
      <c r="B16" s="2947"/>
      <c r="C16" s="2937"/>
      <c r="D16" s="2944"/>
      <c r="E16" s="2948"/>
      <c r="F16" s="2937"/>
      <c r="G16" s="2944"/>
      <c r="H16" s="2939"/>
      <c r="I16" s="2864"/>
      <c r="J16" s="2866"/>
      <c r="K16" s="2868"/>
      <c r="L16" s="1841" t="str">
        <f>CONCATENATE("1 Oui ►(",T3,")")</f>
        <v>1 Oui ►(2.07)</v>
      </c>
      <c r="M16" s="2886" t="s">
        <v>485</v>
      </c>
      <c r="N16" s="2887"/>
      <c r="O16" s="2887"/>
      <c r="P16" s="2885"/>
      <c r="Q16" s="1807" t="s">
        <v>227</v>
      </c>
      <c r="R16" s="2349"/>
      <c r="S16" s="2932" t="s">
        <v>486</v>
      </c>
      <c r="T16" s="1131"/>
      <c r="U16" s="2767"/>
      <c r="V16" s="252" t="s">
        <v>487</v>
      </c>
      <c r="W16" s="1563"/>
      <c r="X16" s="2390" t="str">
        <f>CONCATENATE("2 Non ►(",TEXT(AO3,"0.00"),")")</f>
        <v>2 Non ►(2.10)</v>
      </c>
      <c r="Y16" s="2390" t="str">
        <f>CONCATENATE("2 Non ►(",AF3,")")</f>
        <v>2 Non ►(2.09d)</v>
      </c>
      <c r="Z16" s="2873"/>
      <c r="AA16" s="2873"/>
      <c r="AB16" s="2873"/>
      <c r="AC16" s="2873"/>
      <c r="AD16" s="2915"/>
      <c r="AE16" s="2972"/>
      <c r="AF16" s="2390" t="str">
        <f>CONCATENATE("2 Non ►(",TEXT(AO3,"0.00"),")")</f>
        <v>2 Non ►(2.10)</v>
      </c>
      <c r="AG16" s="2873"/>
      <c r="AH16" s="2873"/>
      <c r="AI16" s="2873"/>
      <c r="AJ16" s="2873"/>
      <c r="AK16" s="2915"/>
      <c r="AL16" s="2873"/>
      <c r="AM16" s="2873"/>
      <c r="AN16" s="2873"/>
      <c r="AO16" s="2951"/>
      <c r="AP16" s="161" t="s">
        <v>488</v>
      </c>
      <c r="AQ16" s="1711" t="str">
        <f>CONCATENATE("1 Oui ►(",TEXT(AY3,"0.00"),")")</f>
        <v>1 Oui ►(2.14)</v>
      </c>
      <c r="AR16" s="1729" t="s">
        <v>227</v>
      </c>
      <c r="AS16" s="1729" t="s">
        <v>489</v>
      </c>
      <c r="AT16" s="1807"/>
      <c r="AU16" s="2952"/>
      <c r="AV16" s="2821"/>
      <c r="AW16" s="2821"/>
      <c r="AX16" s="2953"/>
      <c r="AY16" s="2927"/>
      <c r="AZ16" s="2899" t="s">
        <v>490</v>
      </c>
      <c r="BA16" s="2382" t="s">
        <v>475</v>
      </c>
      <c r="BB16" s="2767"/>
      <c r="BC16" s="2875"/>
      <c r="BD16" s="2877"/>
      <c r="BE16" s="2877"/>
      <c r="BF16" s="2877"/>
      <c r="BG16" s="2877"/>
      <c r="BH16" s="2986"/>
      <c r="BI16" s="2877"/>
      <c r="BJ16" s="2877"/>
      <c r="BK16" s="2926"/>
      <c r="BL16" s="2984"/>
      <c r="BM16" s="2871"/>
      <c r="BN16" s="2871"/>
      <c r="BO16" s="2871"/>
      <c r="BP16" s="240"/>
      <c r="BQ16" s="240"/>
      <c r="BR16" s="2905"/>
      <c r="BS16" s="2929"/>
      <c r="BT16" s="2976"/>
      <c r="BU16" s="2905"/>
      <c r="BV16" s="2905"/>
      <c r="BW16" s="2767"/>
      <c r="BX16" s="2905"/>
      <c r="BY16" s="2905"/>
      <c r="BZ16" s="2905"/>
      <c r="CA16" s="2977"/>
      <c r="CB16" s="2927"/>
      <c r="CC16" s="2899" t="s">
        <v>491</v>
      </c>
      <c r="CD16" s="2382" t="s">
        <v>492</v>
      </c>
      <c r="CE16" s="669"/>
      <c r="CF16" s="977" t="s">
        <v>493</v>
      </c>
    </row>
    <row r="17" spans="1:85" ht="13.5" customHeight="1" x14ac:dyDescent="0.25">
      <c r="A17" s="2767"/>
      <c r="B17" s="2947"/>
      <c r="C17" s="2937"/>
      <c r="D17" s="2944"/>
      <c r="E17" s="2948"/>
      <c r="F17" s="2937"/>
      <c r="G17" s="2944"/>
      <c r="H17" s="2939"/>
      <c r="I17" s="2864"/>
      <c r="J17" s="2866"/>
      <c r="K17" s="2868"/>
      <c r="L17" s="1841" t="s">
        <v>494</v>
      </c>
      <c r="M17" s="2886" t="s">
        <v>495</v>
      </c>
      <c r="N17" s="2887"/>
      <c r="O17" s="2887"/>
      <c r="P17" s="2885"/>
      <c r="Q17" s="1807" t="s">
        <v>240</v>
      </c>
      <c r="R17" s="2349"/>
      <c r="S17" s="2932"/>
      <c r="T17" s="346"/>
      <c r="U17" s="2767"/>
      <c r="V17" s="247" t="str">
        <f>CONCATENATE("►(",AQ3,")")</f>
        <v>►(2.12)</v>
      </c>
      <c r="W17" s="255"/>
      <c r="X17" s="1725"/>
      <c r="Y17" s="1729"/>
      <c r="Z17" s="2873"/>
      <c r="AA17" s="2873"/>
      <c r="AB17" s="2873"/>
      <c r="AC17" s="2873"/>
      <c r="AD17" s="2915"/>
      <c r="AE17" s="2972"/>
      <c r="AF17" s="1730"/>
      <c r="AG17" s="2873"/>
      <c r="AH17" s="2873"/>
      <c r="AI17" s="2873"/>
      <c r="AJ17" s="2873"/>
      <c r="AK17" s="2915"/>
      <c r="AL17" s="2873"/>
      <c r="AM17" s="2873"/>
      <c r="AN17" s="2873"/>
      <c r="AO17" s="2783" t="str">
        <f>CONCATENATE("4  Echec, renvoi  ►(",AQ3,")")</f>
        <v>4  Echec, renvoi  ►(2.12)</v>
      </c>
      <c r="AP17" s="2917" t="s">
        <v>496</v>
      </c>
      <c r="AQ17" s="1712" t="s">
        <v>487</v>
      </c>
      <c r="AR17" s="1808" t="str">
        <f>CONCATENATE("2 Non ►(", TEXT(AU3,"0.00"),")")</f>
        <v>2 Non ►(2.13)</v>
      </c>
      <c r="AS17" s="1808"/>
      <c r="AT17" s="1809"/>
      <c r="AU17" s="2952"/>
      <c r="AV17" s="2821"/>
      <c r="AW17" s="2821"/>
      <c r="AX17" s="2953"/>
      <c r="AY17" s="1528" t="s">
        <v>497</v>
      </c>
      <c r="AZ17" s="2899"/>
      <c r="BA17" s="2382" t="s">
        <v>483</v>
      </c>
      <c r="BB17" s="2767"/>
      <c r="BC17" s="246"/>
      <c r="BD17" s="2877"/>
      <c r="BE17" s="2877"/>
      <c r="BF17" s="2877"/>
      <c r="BG17" s="2877"/>
      <c r="BH17" s="2986"/>
      <c r="BI17" s="2877"/>
      <c r="BJ17" s="2877"/>
      <c r="BK17" s="2926"/>
      <c r="BL17" s="2984"/>
      <c r="BM17" s="2871"/>
      <c r="BN17" s="2871"/>
      <c r="BO17" s="2871"/>
      <c r="BP17" s="253"/>
      <c r="BQ17" s="253"/>
      <c r="BR17" s="2905"/>
      <c r="BS17" s="2929"/>
      <c r="BT17" s="2976"/>
      <c r="BU17" s="2905"/>
      <c r="BV17" s="2905"/>
      <c r="BW17" s="2767"/>
      <c r="BX17" s="2905"/>
      <c r="BY17" s="2905"/>
      <c r="BZ17" s="2905"/>
      <c r="CA17" s="2977"/>
      <c r="CB17" s="1528" t="s">
        <v>497</v>
      </c>
      <c r="CC17" s="2899"/>
      <c r="CD17" s="2382" t="s">
        <v>498</v>
      </c>
      <c r="CE17" s="669"/>
      <c r="CF17" s="977" t="s">
        <v>499</v>
      </c>
    </row>
    <row r="18" spans="1:85" ht="13.5" customHeight="1" x14ac:dyDescent="0.25">
      <c r="A18" s="2767"/>
      <c r="B18" s="2947"/>
      <c r="C18" s="2937"/>
      <c r="D18" s="2944"/>
      <c r="E18" s="2948"/>
      <c r="F18" s="2937"/>
      <c r="G18" s="2944"/>
      <c r="H18" s="2939"/>
      <c r="I18" s="2864"/>
      <c r="J18" s="2866"/>
      <c r="K18" s="2868"/>
      <c r="L18" s="1842"/>
      <c r="M18" s="2888" t="s">
        <v>500</v>
      </c>
      <c r="N18" s="2889"/>
      <c r="O18" s="2889"/>
      <c r="P18" s="2890"/>
      <c r="Q18" s="1834"/>
      <c r="R18" s="2387"/>
      <c r="S18" s="2878" t="s">
        <v>501</v>
      </c>
      <c r="T18" s="346"/>
      <c r="U18" s="2767"/>
      <c r="V18" s="247"/>
      <c r="W18" s="257"/>
      <c r="X18" s="1725"/>
      <c r="Y18" s="1709"/>
      <c r="Z18" s="2873"/>
      <c r="AA18" s="2873"/>
      <c r="AB18" s="2873"/>
      <c r="AC18" s="2873"/>
      <c r="AD18" s="2915"/>
      <c r="AE18" s="2972"/>
      <c r="AF18" s="1731"/>
      <c r="AG18" s="2873"/>
      <c r="AH18" s="2873"/>
      <c r="AI18" s="2873"/>
      <c r="AJ18" s="2873"/>
      <c r="AK18" s="2915"/>
      <c r="AL18" s="2873"/>
      <c r="AM18" s="2873"/>
      <c r="AN18" s="2873"/>
      <c r="AO18" s="2783"/>
      <c r="AP18" s="2917"/>
      <c r="AQ18" s="258"/>
      <c r="AR18" s="1731"/>
      <c r="AS18" s="1731"/>
      <c r="AT18" s="1810"/>
      <c r="AU18" s="2952"/>
      <c r="AV18" s="2821"/>
      <c r="AW18" s="2821"/>
      <c r="AX18" s="2953"/>
      <c r="AY18" s="1528" t="s">
        <v>502</v>
      </c>
      <c r="AZ18" s="2899"/>
      <c r="BA18" s="2382" t="s">
        <v>492</v>
      </c>
      <c r="BB18" s="2767"/>
      <c r="BC18" s="246"/>
      <c r="BD18" s="2877"/>
      <c r="BE18" s="2877"/>
      <c r="BF18" s="2877"/>
      <c r="BG18" s="2877"/>
      <c r="BH18" s="2986"/>
      <c r="BI18" s="2877"/>
      <c r="BJ18" s="2877"/>
      <c r="BK18" s="2926"/>
      <c r="BL18" s="2984"/>
      <c r="BM18" s="2871"/>
      <c r="BN18" s="2871"/>
      <c r="BO18" s="2871"/>
      <c r="BP18" s="253"/>
      <c r="BQ18" s="253"/>
      <c r="BR18" s="2905"/>
      <c r="BS18" s="2929"/>
      <c r="BT18" s="2976"/>
      <c r="BU18" s="2905"/>
      <c r="BV18" s="2905"/>
      <c r="BW18" s="2767"/>
      <c r="BX18" s="2905"/>
      <c r="BY18" s="2905"/>
      <c r="BZ18" s="2905"/>
      <c r="CA18" s="2977"/>
      <c r="CB18" s="1528" t="s">
        <v>502</v>
      </c>
      <c r="CC18" s="2899"/>
      <c r="CD18" s="2382" t="s">
        <v>503</v>
      </c>
      <c r="CE18" s="669"/>
      <c r="CF18" s="1385" t="s">
        <v>504</v>
      </c>
    </row>
    <row r="19" spans="1:85" ht="13.5" customHeight="1" x14ac:dyDescent="0.25">
      <c r="A19" s="2767"/>
      <c r="B19" s="2947"/>
      <c r="C19" s="2937"/>
      <c r="D19" s="2944"/>
      <c r="E19" s="2948"/>
      <c r="F19" s="2937"/>
      <c r="G19" s="2944"/>
      <c r="H19" s="2939"/>
      <c r="I19" s="2864"/>
      <c r="J19" s="2866"/>
      <c r="K19" s="2868"/>
      <c r="L19" s="2933"/>
      <c r="M19" s="2886" t="s">
        <v>505</v>
      </c>
      <c r="N19" s="2887"/>
      <c r="O19" s="2887"/>
      <c r="P19" s="2885"/>
      <c r="Q19" s="1835" t="str">
        <f>CONCATENATE("►►(",TEXT(W3,"0.00"),")")</f>
        <v>►►(2.09)</v>
      </c>
      <c r="R19" s="2349"/>
      <c r="S19" s="2878"/>
      <c r="T19" s="346"/>
      <c r="U19" s="2767"/>
      <c r="V19" s="2772"/>
      <c r="W19" s="248"/>
      <c r="X19" s="1725"/>
      <c r="Y19" s="1732"/>
      <c r="Z19" s="2873"/>
      <c r="AA19" s="2873"/>
      <c r="AB19" s="2873"/>
      <c r="AC19" s="2873"/>
      <c r="AD19" s="2915"/>
      <c r="AE19" s="2972"/>
      <c r="AF19" s="1732"/>
      <c r="AG19" s="2873"/>
      <c r="AH19" s="2873"/>
      <c r="AI19" s="2873"/>
      <c r="AJ19" s="2873"/>
      <c r="AK19" s="2915"/>
      <c r="AL19" s="2873"/>
      <c r="AM19" s="2873"/>
      <c r="AN19" s="2873"/>
      <c r="AO19" s="2951" t="s">
        <v>506</v>
      </c>
      <c r="AP19" s="2918" t="s">
        <v>507</v>
      </c>
      <c r="AQ19" s="240"/>
      <c r="AR19" s="1732"/>
      <c r="AS19" s="1732"/>
      <c r="AT19" s="1736"/>
      <c r="AU19" s="2952"/>
      <c r="AV19" s="2821"/>
      <c r="AW19" s="2821"/>
      <c r="AX19" s="2953"/>
      <c r="AY19" s="2931" t="s">
        <v>508</v>
      </c>
      <c r="AZ19" s="2899"/>
      <c r="BA19" s="2382" t="s">
        <v>498</v>
      </c>
      <c r="BB19" s="2767"/>
      <c r="BC19" s="246"/>
      <c r="BD19" s="2877"/>
      <c r="BE19" s="2877"/>
      <c r="BF19" s="2877"/>
      <c r="BG19" s="2877"/>
      <c r="BH19" s="2986"/>
      <c r="BI19" s="2877"/>
      <c r="BJ19" s="2877"/>
      <c r="BK19" s="2926"/>
      <c r="BL19" s="2984"/>
      <c r="BM19" s="2871"/>
      <c r="BN19" s="2871"/>
      <c r="BO19" s="2871"/>
      <c r="BP19" s="240"/>
      <c r="BQ19" s="240"/>
      <c r="BR19" s="2905"/>
      <c r="BS19" s="2929"/>
      <c r="BT19" s="2976"/>
      <c r="BU19" s="2905"/>
      <c r="BV19" s="2905"/>
      <c r="BW19" s="2767"/>
      <c r="BX19" s="2905"/>
      <c r="BY19" s="2905"/>
      <c r="BZ19" s="2905"/>
      <c r="CA19" s="2977"/>
      <c r="CB19" s="2931" t="s">
        <v>508</v>
      </c>
      <c r="CC19" s="2899"/>
      <c r="CD19" s="2382" t="s">
        <v>509</v>
      </c>
      <c r="CE19" s="669"/>
      <c r="CF19" s="1385" t="s">
        <v>510</v>
      </c>
    </row>
    <row r="20" spans="1:85" ht="15" customHeight="1" x14ac:dyDescent="0.25">
      <c r="A20" s="2767"/>
      <c r="B20" s="2947"/>
      <c r="C20" s="2937"/>
      <c r="D20" s="2944"/>
      <c r="E20" s="2948"/>
      <c r="F20" s="2937"/>
      <c r="G20" s="2944"/>
      <c r="H20" s="2939"/>
      <c r="I20" s="2864"/>
      <c r="J20" s="2866"/>
      <c r="K20" s="2868"/>
      <c r="L20" s="2933"/>
      <c r="M20" s="2886" t="s">
        <v>511</v>
      </c>
      <c r="N20" s="2887"/>
      <c r="O20" s="2887"/>
      <c r="P20" s="2885"/>
      <c r="Q20" s="1836"/>
      <c r="R20" s="2349"/>
      <c r="S20" s="1418" t="s">
        <v>512</v>
      </c>
      <c r="T20" s="346"/>
      <c r="U20" s="2767"/>
      <c r="V20" s="2772"/>
      <c r="W20" s="248"/>
      <c r="X20" s="1725"/>
      <c r="Y20" s="1732"/>
      <c r="Z20" s="2873"/>
      <c r="AA20" s="2873"/>
      <c r="AB20" s="2873"/>
      <c r="AC20" s="2873"/>
      <c r="AD20" s="2915"/>
      <c r="AE20" s="2972"/>
      <c r="AF20" s="1732"/>
      <c r="AG20" s="2873"/>
      <c r="AH20" s="2873"/>
      <c r="AI20" s="2873"/>
      <c r="AJ20" s="2873"/>
      <c r="AK20" s="2915"/>
      <c r="AL20" s="2873"/>
      <c r="AM20" s="2873"/>
      <c r="AN20" s="2873"/>
      <c r="AO20" s="2951"/>
      <c r="AP20" s="2918"/>
      <c r="AQ20" s="240"/>
      <c r="AR20" s="1732"/>
      <c r="AS20" s="1732"/>
      <c r="AT20" s="1736"/>
      <c r="AU20" s="2952"/>
      <c r="AV20" s="2821"/>
      <c r="AW20" s="2821"/>
      <c r="AX20" s="2953"/>
      <c r="AY20" s="2931"/>
      <c r="AZ20" s="2898" t="s">
        <v>513</v>
      </c>
      <c r="BA20" s="2382" t="s">
        <v>503</v>
      </c>
      <c r="BB20" s="2767"/>
      <c r="BC20" s="246"/>
      <c r="BD20" s="2877"/>
      <c r="BE20" s="2877"/>
      <c r="BF20" s="2877"/>
      <c r="BG20" s="2877"/>
      <c r="BH20" s="2986"/>
      <c r="BI20" s="2877"/>
      <c r="BJ20" s="2877"/>
      <c r="BK20" s="2926"/>
      <c r="BL20" s="2984"/>
      <c r="BM20" s="2871"/>
      <c r="BN20" s="2871"/>
      <c r="BO20" s="2871"/>
      <c r="BP20" s="240"/>
      <c r="BQ20" s="240"/>
      <c r="BR20" s="2905"/>
      <c r="BS20" s="2929"/>
      <c r="BT20" s="2976"/>
      <c r="BU20" s="2905"/>
      <c r="BV20" s="2905"/>
      <c r="BW20" s="2767"/>
      <c r="BX20" s="2905"/>
      <c r="BY20" s="2905"/>
      <c r="BZ20" s="2905"/>
      <c r="CA20" s="2977"/>
      <c r="CB20" s="2931"/>
      <c r="CC20" s="2382" t="s">
        <v>513</v>
      </c>
      <c r="CD20" s="2382" t="s">
        <v>514</v>
      </c>
      <c r="CE20" s="669"/>
      <c r="CF20" s="592"/>
    </row>
    <row r="21" spans="1:85" ht="25.5" customHeight="1" x14ac:dyDescent="0.25">
      <c r="A21" s="2767"/>
      <c r="B21" s="2947"/>
      <c r="C21" s="2937"/>
      <c r="D21" s="2944"/>
      <c r="E21" s="2948"/>
      <c r="F21" s="2937"/>
      <c r="G21" s="2944"/>
      <c r="H21" s="2939"/>
      <c r="I21" s="2864"/>
      <c r="J21" s="2866"/>
      <c r="K21" s="2868"/>
      <c r="L21" s="2394"/>
      <c r="M21" s="2886" t="s">
        <v>515</v>
      </c>
      <c r="N21" s="2887"/>
      <c r="O21" s="2887"/>
      <c r="P21" s="2885"/>
      <c r="Q21" s="1836"/>
      <c r="R21" s="2433"/>
      <c r="S21" s="2401"/>
      <c r="T21" s="346"/>
      <c r="U21" s="2767"/>
      <c r="V21" s="247"/>
      <c r="W21" s="248"/>
      <c r="X21" s="1725"/>
      <c r="Y21" s="1732"/>
      <c r="Z21" s="2873"/>
      <c r="AA21" s="2873"/>
      <c r="AB21" s="2873"/>
      <c r="AC21" s="2873"/>
      <c r="AD21" s="2915"/>
      <c r="AE21" s="2972"/>
      <c r="AF21" s="1732"/>
      <c r="AG21" s="2873"/>
      <c r="AH21" s="2873"/>
      <c r="AI21" s="2873"/>
      <c r="AJ21" s="2873"/>
      <c r="AK21" s="2915"/>
      <c r="AL21" s="2873"/>
      <c r="AM21" s="2873"/>
      <c r="AN21" s="2873"/>
      <c r="AO21" s="181"/>
      <c r="AP21" s="2918"/>
      <c r="AQ21" s="240"/>
      <c r="AR21" s="1732"/>
      <c r="AS21" s="1732"/>
      <c r="AT21" s="1736"/>
      <c r="AU21" s="2952"/>
      <c r="AV21" s="2821"/>
      <c r="AW21" s="2821"/>
      <c r="AX21" s="2953"/>
      <c r="AY21" s="2931"/>
      <c r="AZ21" s="2898"/>
      <c r="BA21" s="2382" t="s">
        <v>509</v>
      </c>
      <c r="BB21" s="2767"/>
      <c r="BC21" s="246"/>
      <c r="BD21" s="2877"/>
      <c r="BE21" s="2877"/>
      <c r="BF21" s="2877"/>
      <c r="BG21" s="2877"/>
      <c r="BH21" s="2986"/>
      <c r="BI21" s="2877"/>
      <c r="BJ21" s="2877"/>
      <c r="BK21" s="2926"/>
      <c r="BL21" s="2984"/>
      <c r="BM21" s="2871"/>
      <c r="BN21" s="2871"/>
      <c r="BO21" s="2871"/>
      <c r="BP21" s="161"/>
      <c r="BQ21" s="161"/>
      <c r="BR21" s="247"/>
      <c r="BS21" s="162"/>
      <c r="BT21" s="161"/>
      <c r="BU21" s="247"/>
      <c r="BV21" s="247"/>
      <c r="BW21" s="2767"/>
      <c r="BX21" s="247"/>
      <c r="BY21" s="247"/>
      <c r="BZ21" s="181"/>
      <c r="CA21" s="2977"/>
      <c r="CB21" s="2931"/>
      <c r="CC21" s="2382" t="s">
        <v>516</v>
      </c>
      <c r="CD21" s="2382"/>
      <c r="CE21" s="669"/>
      <c r="CF21" s="247"/>
    </row>
    <row r="22" spans="1:85" ht="13.5" customHeight="1" x14ac:dyDescent="0.25">
      <c r="A22" s="2767"/>
      <c r="B22" s="2947"/>
      <c r="C22" s="2937"/>
      <c r="D22" s="2944"/>
      <c r="E22" s="2948"/>
      <c r="F22" s="2937"/>
      <c r="G22" s="2944"/>
      <c r="H22" s="2939"/>
      <c r="I22" s="2864"/>
      <c r="J22" s="2866"/>
      <c r="K22" s="2868"/>
      <c r="L22" s="2394"/>
      <c r="M22" s="2886" t="s">
        <v>517</v>
      </c>
      <c r="N22" s="2887"/>
      <c r="O22" s="2887"/>
      <c r="P22" s="2885"/>
      <c r="Q22" s="1836"/>
      <c r="R22" s="1420"/>
      <c r="S22" s="2401"/>
      <c r="T22" s="1317"/>
      <c r="U22" s="2767"/>
      <c r="V22" s="247"/>
      <c r="W22" s="248"/>
      <c r="X22" s="1725"/>
      <c r="Y22" s="1732"/>
      <c r="Z22" s="2873"/>
      <c r="AA22" s="2873"/>
      <c r="AB22" s="2873"/>
      <c r="AC22" s="2873"/>
      <c r="AD22" s="2915"/>
      <c r="AE22" s="2972"/>
      <c r="AF22" s="1732"/>
      <c r="AG22" s="2873"/>
      <c r="AH22" s="2873"/>
      <c r="AI22" s="2873"/>
      <c r="AJ22" s="2873"/>
      <c r="AK22" s="2915"/>
      <c r="AL22" s="2873"/>
      <c r="AM22" s="2873"/>
      <c r="AN22" s="2873"/>
      <c r="AO22" s="247"/>
      <c r="AP22" s="2918"/>
      <c r="AQ22" s="240"/>
      <c r="AR22" s="1732"/>
      <c r="AS22" s="1732"/>
      <c r="AT22" s="1736"/>
      <c r="AU22" s="2952"/>
      <c r="AV22" s="2821"/>
      <c r="AW22" s="2821"/>
      <c r="AX22" s="2953"/>
      <c r="AY22" s="1528" t="str">
        <f>CONCATENATE("8 Supérieur ")</f>
        <v xml:space="preserve">8 Supérieur </v>
      </c>
      <c r="AZ22" s="2382" t="s">
        <v>516</v>
      </c>
      <c r="BA22" s="2382" t="s">
        <v>514</v>
      </c>
      <c r="BB22" s="2767"/>
      <c r="BC22" s="246"/>
      <c r="BD22" s="2877"/>
      <c r="BE22" s="2877"/>
      <c r="BF22" s="2877"/>
      <c r="BG22" s="2877"/>
      <c r="BH22" s="2986"/>
      <c r="BI22" s="2877"/>
      <c r="BJ22" s="2877"/>
      <c r="BK22" s="2926"/>
      <c r="BL22" s="2984"/>
      <c r="BM22" s="2871"/>
      <c r="BN22" s="2871"/>
      <c r="BO22" s="2871"/>
      <c r="BP22" s="161"/>
      <c r="BQ22" s="161"/>
      <c r="BR22" s="247"/>
      <c r="BS22" s="162"/>
      <c r="BT22" s="161"/>
      <c r="BU22" s="247"/>
      <c r="BV22" s="247"/>
      <c r="BW22" s="2767"/>
      <c r="BX22" s="247"/>
      <c r="BY22" s="247"/>
      <c r="BZ22" s="260"/>
      <c r="CA22" s="2977"/>
      <c r="CB22" s="1528" t="str">
        <f>CONCATENATE("8 Supérieur ")</f>
        <v xml:space="preserve">8 Supérieur </v>
      </c>
      <c r="CC22" s="2382" t="s">
        <v>518</v>
      </c>
      <c r="CD22" s="2382"/>
      <c r="CE22" s="669"/>
      <c r="CF22" s="247"/>
    </row>
    <row r="23" spans="1:85" ht="14.25" customHeight="1" x14ac:dyDescent="0.25">
      <c r="A23" s="2767"/>
      <c r="B23" s="2947"/>
      <c r="C23" s="2937"/>
      <c r="D23" s="2944"/>
      <c r="E23" s="2948"/>
      <c r="F23" s="2937"/>
      <c r="G23" s="2944"/>
      <c r="H23" s="2939"/>
      <c r="I23" s="2864"/>
      <c r="J23" s="2866"/>
      <c r="K23" s="2868"/>
      <c r="L23" s="1843"/>
      <c r="M23" s="2892"/>
      <c r="N23" s="2893"/>
      <c r="O23" s="2893"/>
      <c r="P23" s="2894"/>
      <c r="Q23" s="1836"/>
      <c r="R23" s="1379"/>
      <c r="S23" s="1419"/>
      <c r="T23" s="1316"/>
      <c r="U23" s="2767"/>
      <c r="V23" s="247"/>
      <c r="W23" s="248"/>
      <c r="X23" s="1733"/>
      <c r="Y23" s="1734"/>
      <c r="Z23" s="2873"/>
      <c r="AA23" s="2873"/>
      <c r="AB23" s="2873"/>
      <c r="AC23" s="2873"/>
      <c r="AD23" s="2915"/>
      <c r="AE23" s="2972"/>
      <c r="AF23" s="1732"/>
      <c r="AG23" s="2873"/>
      <c r="AH23" s="2873"/>
      <c r="AI23" s="2873"/>
      <c r="AJ23" s="2873"/>
      <c r="AK23" s="2915"/>
      <c r="AL23" s="2873"/>
      <c r="AM23" s="2873"/>
      <c r="AN23" s="2873"/>
      <c r="AO23" s="348"/>
      <c r="AP23" s="2919"/>
      <c r="AQ23" s="240"/>
      <c r="AR23" s="1734"/>
      <c r="AS23" s="1734"/>
      <c r="AT23" s="1736"/>
      <c r="AU23" s="2895" t="str">
        <f>CONCATENATE("►► ","(",TEXT(CB3, "0.00"),")")</f>
        <v>►► (2.29)</v>
      </c>
      <c r="AV23" s="2896"/>
      <c r="AW23" s="2896"/>
      <c r="AX23" s="2897"/>
      <c r="AY23" s="1530"/>
      <c r="AZ23" s="2382" t="s">
        <v>518</v>
      </c>
      <c r="BA23" s="941"/>
      <c r="BB23" s="2767"/>
      <c r="BC23" s="246"/>
      <c r="BD23" s="2877"/>
      <c r="BE23" s="2877"/>
      <c r="BF23" s="2877"/>
      <c r="BG23" s="2877"/>
      <c r="BH23" s="2986"/>
      <c r="BI23" s="2877"/>
      <c r="BJ23" s="2877"/>
      <c r="BK23" s="2926"/>
      <c r="BL23" s="2984"/>
      <c r="BM23" s="2871"/>
      <c r="BN23" s="2871"/>
      <c r="BO23" s="2871"/>
      <c r="BP23" s="161"/>
      <c r="BQ23" s="161"/>
      <c r="BR23" s="348"/>
      <c r="BS23" s="162"/>
      <c r="BT23" s="1119"/>
      <c r="BU23" s="348"/>
      <c r="BV23" s="348"/>
      <c r="BW23" s="2767"/>
      <c r="BX23" s="348"/>
      <c r="BY23" s="348"/>
      <c r="BZ23" s="349"/>
      <c r="CA23" s="1121" t="str">
        <f>CONCATENATE("►► (",ROUND(CF3,2),")")</f>
        <v>►► (2.33)</v>
      </c>
      <c r="CB23" s="1530"/>
      <c r="CC23" s="1564"/>
      <c r="CD23" s="941"/>
      <c r="CE23" s="1123"/>
      <c r="CF23" s="348"/>
    </row>
    <row r="24" spans="1:85" ht="23" x14ac:dyDescent="0.25">
      <c r="A24" s="2768"/>
      <c r="B24" s="1562" t="s">
        <v>170</v>
      </c>
      <c r="C24" s="2938"/>
      <c r="D24" s="2945"/>
      <c r="E24" s="2940"/>
      <c r="F24" s="2938"/>
      <c r="G24" s="2945"/>
      <c r="H24" s="2940"/>
      <c r="I24" s="2865"/>
      <c r="J24" s="2867"/>
      <c r="K24" s="2869"/>
      <c r="L24" s="1844" t="s">
        <v>346</v>
      </c>
      <c r="M24" s="2879" t="s">
        <v>346</v>
      </c>
      <c r="N24" s="2880"/>
      <c r="O24" s="2880"/>
      <c r="P24" s="2881"/>
      <c r="Q24" s="1837" t="s">
        <v>346</v>
      </c>
      <c r="R24" s="264" t="s">
        <v>346</v>
      </c>
      <c r="S24" s="2399" t="s">
        <v>346</v>
      </c>
      <c r="T24" s="264" t="s">
        <v>350</v>
      </c>
      <c r="U24" s="2768"/>
      <c r="V24" s="261" t="s">
        <v>346</v>
      </c>
      <c r="W24" s="262" t="s">
        <v>346</v>
      </c>
      <c r="X24" s="1735" t="s">
        <v>346</v>
      </c>
      <c r="Y24" s="1735" t="s">
        <v>346</v>
      </c>
      <c r="Z24" s="2873"/>
      <c r="AA24" s="2873"/>
      <c r="AB24" s="2873"/>
      <c r="AC24" s="2873"/>
      <c r="AD24" s="2915"/>
      <c r="AE24" s="2972"/>
      <c r="AF24" s="1735" t="s">
        <v>346</v>
      </c>
      <c r="AG24" s="2874"/>
      <c r="AH24" s="2874"/>
      <c r="AI24" s="2874"/>
      <c r="AJ24" s="2874"/>
      <c r="AK24" s="2916"/>
      <c r="AL24" s="2874"/>
      <c r="AM24" s="2874"/>
      <c r="AN24" s="2874"/>
      <c r="AO24" s="2406" t="s">
        <v>346</v>
      </c>
      <c r="AP24" s="2434" t="s">
        <v>346</v>
      </c>
      <c r="AQ24" s="1896" t="s">
        <v>346</v>
      </c>
      <c r="AR24" s="1811" t="s">
        <v>346</v>
      </c>
      <c r="AS24" s="1811" t="s">
        <v>346</v>
      </c>
      <c r="AT24" s="1811" t="s">
        <v>346</v>
      </c>
      <c r="AU24" s="2973" t="s">
        <v>346</v>
      </c>
      <c r="AV24" s="2974"/>
      <c r="AW24" s="2974"/>
      <c r="AX24" s="2975"/>
      <c r="AY24" s="1531" t="s">
        <v>346</v>
      </c>
      <c r="AZ24" s="263" t="s">
        <v>346</v>
      </c>
      <c r="BA24" s="263" t="s">
        <v>346</v>
      </c>
      <c r="BB24" s="2768"/>
      <c r="BC24" s="263" t="s">
        <v>346</v>
      </c>
      <c r="BD24" s="2877"/>
      <c r="BE24" s="2877"/>
      <c r="BF24" s="2877"/>
      <c r="BG24" s="2877"/>
      <c r="BH24" s="2986"/>
      <c r="BI24" s="2877"/>
      <c r="BJ24" s="2877"/>
      <c r="BK24" s="2926"/>
      <c r="BL24" s="2984"/>
      <c r="BM24" s="2871"/>
      <c r="BN24" s="2871"/>
      <c r="BO24" s="2871"/>
      <c r="BP24" s="2408"/>
      <c r="BQ24" s="264" t="s">
        <v>346</v>
      </c>
      <c r="BR24" s="2406" t="s">
        <v>519</v>
      </c>
      <c r="BS24" s="2406" t="s">
        <v>519</v>
      </c>
      <c r="BT24" s="2406" t="s">
        <v>519</v>
      </c>
      <c r="BU24" s="2406" t="s">
        <v>519</v>
      </c>
      <c r="BV24" s="2406" t="s">
        <v>519</v>
      </c>
      <c r="BW24" s="2768"/>
      <c r="BX24" s="2433" t="s">
        <v>519</v>
      </c>
      <c r="BY24" s="2433" t="s">
        <v>519</v>
      </c>
      <c r="BZ24" s="2406" t="s">
        <v>519</v>
      </c>
      <c r="CA24" s="2406" t="s">
        <v>519</v>
      </c>
      <c r="CB24" s="1531" t="s">
        <v>346</v>
      </c>
      <c r="CC24" s="263" t="s">
        <v>346</v>
      </c>
      <c r="CD24" s="1329" t="s">
        <v>346</v>
      </c>
      <c r="CE24" s="266" t="s">
        <v>520</v>
      </c>
      <c r="CF24" s="265" t="s">
        <v>346</v>
      </c>
      <c r="CG24" s="267"/>
    </row>
    <row r="25" spans="1:85" ht="14.25" customHeight="1" x14ac:dyDescent="0.25">
      <c r="A25" s="63">
        <v>1</v>
      </c>
      <c r="B25" s="268"/>
      <c r="C25" s="274"/>
      <c r="D25" s="270"/>
      <c r="E25" s="274"/>
      <c r="F25" s="274"/>
      <c r="G25" s="270"/>
      <c r="H25" s="274"/>
      <c r="I25" s="274"/>
      <c r="J25" s="270"/>
      <c r="K25" s="274"/>
      <c r="L25" s="271"/>
      <c r="M25" s="307"/>
      <c r="N25" s="308"/>
      <c r="O25" s="308"/>
      <c r="P25" s="309"/>
      <c r="Q25" s="309"/>
      <c r="R25" s="1379"/>
      <c r="S25" s="277"/>
      <c r="T25" s="1202"/>
      <c r="U25" s="63">
        <v>1</v>
      </c>
      <c r="V25" s="274"/>
      <c r="W25" s="275"/>
      <c r="X25" s="271"/>
      <c r="Y25" s="271"/>
      <c r="Z25" s="274"/>
      <c r="AA25" s="278"/>
      <c r="AB25" s="278"/>
      <c r="AC25" s="274"/>
      <c r="AD25" s="274"/>
      <c r="AE25" s="274"/>
      <c r="AF25" s="271"/>
      <c r="AG25" s="271"/>
      <c r="AH25" s="271"/>
      <c r="AI25" s="271"/>
      <c r="AJ25" s="271"/>
      <c r="AK25" s="271"/>
      <c r="AL25" s="271"/>
      <c r="AM25" s="271"/>
      <c r="AN25" s="271"/>
      <c r="AO25" s="276"/>
      <c r="AP25" s="273"/>
      <c r="AQ25" s="274"/>
      <c r="AR25" s="272"/>
      <c r="AS25" s="272"/>
      <c r="AT25" s="272"/>
      <c r="AU25" s="277"/>
      <c r="AV25" s="277"/>
      <c r="AW25" s="269"/>
      <c r="AX25" s="270"/>
      <c r="AY25" s="276"/>
      <c r="AZ25" s="274"/>
      <c r="BA25" s="274"/>
      <c r="BB25" s="63">
        <v>1</v>
      </c>
      <c r="BC25" s="1855"/>
      <c r="BD25" s="278"/>
      <c r="BE25" s="278"/>
      <c r="BF25" s="278"/>
      <c r="BG25" s="274"/>
      <c r="BH25" s="274"/>
      <c r="BI25" s="274"/>
      <c r="BJ25" s="274"/>
      <c r="BK25" s="274"/>
      <c r="BL25" s="274"/>
      <c r="BM25" s="274"/>
      <c r="BN25" s="274"/>
      <c r="BO25" s="274"/>
      <c r="BP25" s="275"/>
      <c r="BQ25" s="274"/>
      <c r="BR25" s="274"/>
      <c r="BS25" s="274"/>
      <c r="BT25" s="274"/>
      <c r="BU25" s="274"/>
      <c r="BV25" s="274"/>
      <c r="BW25" s="63">
        <v>1</v>
      </c>
      <c r="BX25" s="274"/>
      <c r="BY25" s="274"/>
      <c r="BZ25" s="274"/>
      <c r="CA25" s="274"/>
      <c r="CB25" s="276"/>
      <c r="CC25" s="279"/>
      <c r="CD25" s="279"/>
      <c r="CE25" s="274"/>
      <c r="CF25" s="280"/>
    </row>
    <row r="26" spans="1:85" ht="14.25" customHeight="1" x14ac:dyDescent="0.25">
      <c r="A26" s="65">
        <v>2</v>
      </c>
      <c r="B26" s="282"/>
      <c r="C26" s="289"/>
      <c r="D26" s="284"/>
      <c r="E26" s="289"/>
      <c r="F26" s="289"/>
      <c r="G26" s="284"/>
      <c r="H26" s="289"/>
      <c r="I26" s="289"/>
      <c r="J26" s="284"/>
      <c r="K26" s="289"/>
      <c r="L26" s="285"/>
      <c r="M26" s="286"/>
      <c r="N26" s="287"/>
      <c r="O26" s="287"/>
      <c r="P26" s="288"/>
      <c r="Q26" s="288"/>
      <c r="R26" s="1380"/>
      <c r="S26" s="321"/>
      <c r="T26" s="322"/>
      <c r="U26" s="65">
        <v>2</v>
      </c>
      <c r="V26" s="289"/>
      <c r="W26" s="283"/>
      <c r="X26" s="285"/>
      <c r="Y26" s="285"/>
      <c r="Z26" s="294"/>
      <c r="AA26" s="295"/>
      <c r="AB26" s="295"/>
      <c r="AC26" s="294"/>
      <c r="AD26" s="294"/>
      <c r="AE26" s="294"/>
      <c r="AF26" s="285"/>
      <c r="AG26" s="297"/>
      <c r="AH26" s="297"/>
      <c r="AI26" s="297"/>
      <c r="AJ26" s="297"/>
      <c r="AK26" s="297"/>
      <c r="AL26" s="297"/>
      <c r="AM26" s="297"/>
      <c r="AN26" s="297"/>
      <c r="AO26" s="290"/>
      <c r="AP26" s="286"/>
      <c r="AQ26" s="289"/>
      <c r="AR26" s="293"/>
      <c r="AS26" s="293"/>
      <c r="AT26" s="293"/>
      <c r="AU26" s="291"/>
      <c r="AV26" s="291"/>
      <c r="AW26" s="292"/>
      <c r="AX26" s="293"/>
      <c r="AY26" s="290"/>
      <c r="AZ26" s="294"/>
      <c r="BA26" s="294"/>
      <c r="BB26" s="65">
        <v>2</v>
      </c>
      <c r="BC26" s="1856"/>
      <c r="BD26" s="295"/>
      <c r="BE26" s="295"/>
      <c r="BF26" s="295"/>
      <c r="BG26" s="294"/>
      <c r="BH26" s="294"/>
      <c r="BI26" s="294"/>
      <c r="BJ26" s="294"/>
      <c r="BK26" s="294"/>
      <c r="BL26" s="294"/>
      <c r="BM26" s="294"/>
      <c r="BN26" s="294"/>
      <c r="BO26" s="294"/>
      <c r="BP26" s="292"/>
      <c r="BQ26" s="294"/>
      <c r="BR26" s="294"/>
      <c r="BS26" s="294"/>
      <c r="BT26" s="296"/>
      <c r="BU26" s="296"/>
      <c r="BV26" s="296"/>
      <c r="BW26" s="65">
        <v>2</v>
      </c>
      <c r="BX26" s="296"/>
      <c r="BY26" s="296"/>
      <c r="BZ26" s="296"/>
      <c r="CA26" s="296"/>
      <c r="CB26" s="290"/>
      <c r="CC26" s="293"/>
      <c r="CD26" s="293"/>
      <c r="CE26" s="296"/>
      <c r="CF26" s="296"/>
    </row>
    <row r="27" spans="1:85" ht="14.25" customHeight="1" x14ac:dyDescent="0.25">
      <c r="A27" s="65">
        <v>3</v>
      </c>
      <c r="B27" s="282"/>
      <c r="C27" s="289"/>
      <c r="D27" s="284"/>
      <c r="E27" s="289"/>
      <c r="F27" s="289"/>
      <c r="G27" s="284"/>
      <c r="H27" s="289"/>
      <c r="I27" s="289"/>
      <c r="J27" s="284"/>
      <c r="K27" s="289"/>
      <c r="L27" s="285"/>
      <c r="M27" s="298"/>
      <c r="N27" s="299"/>
      <c r="O27" s="299"/>
      <c r="P27" s="300"/>
      <c r="Q27" s="300"/>
      <c r="R27" s="1381"/>
      <c r="S27" s="291"/>
      <c r="T27" s="322"/>
      <c r="U27" s="65">
        <v>3</v>
      </c>
      <c r="V27" s="289"/>
      <c r="W27" s="283"/>
      <c r="X27" s="285"/>
      <c r="Y27" s="285"/>
      <c r="Z27" s="294"/>
      <c r="AA27" s="295"/>
      <c r="AB27" s="295"/>
      <c r="AC27" s="294"/>
      <c r="AD27" s="294"/>
      <c r="AE27" s="294"/>
      <c r="AF27" s="285"/>
      <c r="AG27" s="297"/>
      <c r="AH27" s="297"/>
      <c r="AI27" s="297"/>
      <c r="AJ27" s="297"/>
      <c r="AK27" s="297"/>
      <c r="AL27" s="297"/>
      <c r="AM27" s="297"/>
      <c r="AN27" s="297"/>
      <c r="AO27" s="290"/>
      <c r="AP27" s="286"/>
      <c r="AQ27" s="289"/>
      <c r="AR27" s="293"/>
      <c r="AS27" s="293"/>
      <c r="AT27" s="293"/>
      <c r="AU27" s="291"/>
      <c r="AV27" s="291"/>
      <c r="AW27" s="292"/>
      <c r="AX27" s="293"/>
      <c r="AY27" s="290"/>
      <c r="AZ27" s="294"/>
      <c r="BA27" s="294"/>
      <c r="BB27" s="65">
        <v>3</v>
      </c>
      <c r="BC27" s="1856"/>
      <c r="BD27" s="295"/>
      <c r="BE27" s="295"/>
      <c r="BF27" s="295"/>
      <c r="BG27" s="294"/>
      <c r="BH27" s="294"/>
      <c r="BI27" s="294"/>
      <c r="BJ27" s="294"/>
      <c r="BK27" s="294"/>
      <c r="BL27" s="294"/>
      <c r="BM27" s="294"/>
      <c r="BN27" s="294"/>
      <c r="BO27" s="294"/>
      <c r="BP27" s="292"/>
      <c r="BQ27" s="294"/>
      <c r="BR27" s="294"/>
      <c r="BS27" s="294"/>
      <c r="BT27" s="296"/>
      <c r="BU27" s="296"/>
      <c r="BV27" s="296"/>
      <c r="BW27" s="65">
        <v>3</v>
      </c>
      <c r="BX27" s="296"/>
      <c r="BY27" s="296"/>
      <c r="BZ27" s="296"/>
      <c r="CA27" s="296"/>
      <c r="CB27" s="290"/>
      <c r="CC27" s="293"/>
      <c r="CD27" s="293"/>
      <c r="CE27" s="296"/>
      <c r="CF27" s="296"/>
    </row>
    <row r="28" spans="1:85" ht="14.25" customHeight="1" x14ac:dyDescent="0.25">
      <c r="A28" s="65">
        <v>4</v>
      </c>
      <c r="B28" s="282"/>
      <c r="C28" s="289"/>
      <c r="D28" s="284"/>
      <c r="E28" s="289"/>
      <c r="F28" s="289"/>
      <c r="G28" s="284"/>
      <c r="H28" s="289"/>
      <c r="I28" s="289"/>
      <c r="J28" s="284"/>
      <c r="K28" s="289"/>
      <c r="L28" s="285"/>
      <c r="M28" s="298"/>
      <c r="N28" s="299"/>
      <c r="O28" s="299"/>
      <c r="P28" s="300"/>
      <c r="Q28" s="300"/>
      <c r="R28" s="1381"/>
      <c r="S28" s="291"/>
      <c r="T28" s="322"/>
      <c r="U28" s="65">
        <v>4</v>
      </c>
      <c r="V28" s="289"/>
      <c r="W28" s="283"/>
      <c r="X28" s="285"/>
      <c r="Y28" s="285"/>
      <c r="Z28" s="294"/>
      <c r="AA28" s="295"/>
      <c r="AB28" s="295"/>
      <c r="AC28" s="294"/>
      <c r="AD28" s="294"/>
      <c r="AE28" s="294"/>
      <c r="AF28" s="285"/>
      <c r="AG28" s="297"/>
      <c r="AH28" s="297"/>
      <c r="AI28" s="297"/>
      <c r="AJ28" s="297"/>
      <c r="AK28" s="297"/>
      <c r="AL28" s="297"/>
      <c r="AM28" s="297"/>
      <c r="AN28" s="297"/>
      <c r="AO28" s="290"/>
      <c r="AP28" s="286"/>
      <c r="AQ28" s="289"/>
      <c r="AR28" s="293"/>
      <c r="AS28" s="293"/>
      <c r="AT28" s="293"/>
      <c r="AU28" s="291"/>
      <c r="AV28" s="291"/>
      <c r="AW28" s="292"/>
      <c r="AX28" s="293"/>
      <c r="AY28" s="290"/>
      <c r="AZ28" s="294"/>
      <c r="BA28" s="294"/>
      <c r="BB28" s="65">
        <v>4</v>
      </c>
      <c r="BC28" s="1856"/>
      <c r="BD28" s="295"/>
      <c r="BE28" s="295"/>
      <c r="BF28" s="295"/>
      <c r="BG28" s="294"/>
      <c r="BH28" s="294"/>
      <c r="BI28" s="294"/>
      <c r="BJ28" s="294"/>
      <c r="BK28" s="294"/>
      <c r="BL28" s="294"/>
      <c r="BM28" s="294"/>
      <c r="BN28" s="294"/>
      <c r="BO28" s="294"/>
      <c r="BP28" s="292"/>
      <c r="BQ28" s="294"/>
      <c r="BR28" s="294"/>
      <c r="BS28" s="294"/>
      <c r="BT28" s="296"/>
      <c r="BU28" s="296"/>
      <c r="BV28" s="296"/>
      <c r="BW28" s="65">
        <v>4</v>
      </c>
      <c r="BX28" s="296"/>
      <c r="BY28" s="296"/>
      <c r="BZ28" s="296"/>
      <c r="CA28" s="296"/>
      <c r="CB28" s="290"/>
      <c r="CC28" s="293"/>
      <c r="CD28" s="293"/>
      <c r="CE28" s="296"/>
      <c r="CF28" s="296"/>
    </row>
    <row r="29" spans="1:85" ht="14.25" customHeight="1" x14ac:dyDescent="0.25">
      <c r="A29" s="65">
        <v>5</v>
      </c>
      <c r="B29" s="282"/>
      <c r="C29" s="294"/>
      <c r="D29" s="293"/>
      <c r="E29" s="294"/>
      <c r="F29" s="294"/>
      <c r="G29" s="293"/>
      <c r="H29" s="294"/>
      <c r="I29" s="294"/>
      <c r="J29" s="293"/>
      <c r="K29" s="294"/>
      <c r="L29" s="297"/>
      <c r="M29" s="1313"/>
      <c r="N29" s="1314"/>
      <c r="O29" s="1314"/>
      <c r="P29" s="1315"/>
      <c r="Q29" s="1315"/>
      <c r="R29" s="1382"/>
      <c r="S29" s="1378"/>
      <c r="T29" s="296"/>
      <c r="U29" s="65">
        <v>5</v>
      </c>
      <c r="V29" s="294"/>
      <c r="W29" s="292"/>
      <c r="X29" s="297"/>
      <c r="Y29" s="297"/>
      <c r="Z29" s="294"/>
      <c r="AA29" s="295"/>
      <c r="AB29" s="295"/>
      <c r="AC29" s="294"/>
      <c r="AD29" s="294"/>
      <c r="AE29" s="294"/>
      <c r="AF29" s="297"/>
      <c r="AG29" s="297"/>
      <c r="AH29" s="297"/>
      <c r="AI29" s="297"/>
      <c r="AJ29" s="297"/>
      <c r="AK29" s="297"/>
      <c r="AL29" s="297"/>
      <c r="AM29" s="297"/>
      <c r="AN29" s="297"/>
      <c r="AO29" s="301"/>
      <c r="AP29" s="298"/>
      <c r="AQ29" s="294"/>
      <c r="AR29" s="293"/>
      <c r="AS29" s="293"/>
      <c r="AT29" s="293"/>
      <c r="AU29" s="291"/>
      <c r="AV29" s="291"/>
      <c r="AW29" s="292"/>
      <c r="AX29" s="293"/>
      <c r="AY29" s="301"/>
      <c r="AZ29" s="294"/>
      <c r="BA29" s="294"/>
      <c r="BB29" s="65">
        <v>5</v>
      </c>
      <c r="BC29" s="1857"/>
      <c r="BD29" s="295"/>
      <c r="BE29" s="295"/>
      <c r="BF29" s="295"/>
      <c r="BG29" s="294"/>
      <c r="BH29" s="294"/>
      <c r="BI29" s="294"/>
      <c r="BJ29" s="294"/>
      <c r="BK29" s="294"/>
      <c r="BL29" s="294"/>
      <c r="BM29" s="294"/>
      <c r="BN29" s="294"/>
      <c r="BO29" s="294"/>
      <c r="BP29" s="292"/>
      <c r="BQ29" s="294"/>
      <c r="BR29" s="294"/>
      <c r="BS29" s="294"/>
      <c r="BT29" s="296"/>
      <c r="BU29" s="296"/>
      <c r="BV29" s="296"/>
      <c r="BW29" s="65">
        <v>5</v>
      </c>
      <c r="BX29" s="296"/>
      <c r="BY29" s="296"/>
      <c r="BZ29" s="296"/>
      <c r="CA29" s="296"/>
      <c r="CB29" s="301"/>
      <c r="CC29" s="293"/>
      <c r="CD29" s="293"/>
      <c r="CE29" s="296"/>
      <c r="CF29" s="296"/>
    </row>
    <row r="30" spans="1:85" ht="14.25" customHeight="1" x14ac:dyDescent="0.25">
      <c r="A30" s="63">
        <v>6</v>
      </c>
      <c r="B30" s="302"/>
      <c r="C30" s="274"/>
      <c r="D30" s="272"/>
      <c r="E30" s="274"/>
      <c r="F30" s="274"/>
      <c r="G30" s="272"/>
      <c r="H30" s="274"/>
      <c r="I30" s="274"/>
      <c r="J30" s="272"/>
      <c r="K30" s="274"/>
      <c r="L30" s="271"/>
      <c r="M30" s="307"/>
      <c r="N30" s="308"/>
      <c r="O30" s="308"/>
      <c r="P30" s="309"/>
      <c r="Q30" s="309"/>
      <c r="R30" s="1379"/>
      <c r="S30" s="277"/>
      <c r="T30" s="1202"/>
      <c r="U30" s="63">
        <v>6</v>
      </c>
      <c r="V30" s="274"/>
      <c r="W30" s="275"/>
      <c r="X30" s="271"/>
      <c r="Y30" s="271"/>
      <c r="Z30" s="274"/>
      <c r="AA30" s="278"/>
      <c r="AB30" s="278"/>
      <c r="AC30" s="274"/>
      <c r="AD30" s="274"/>
      <c r="AE30" s="274"/>
      <c r="AF30" s="271"/>
      <c r="AG30" s="271"/>
      <c r="AH30" s="271"/>
      <c r="AI30" s="271"/>
      <c r="AJ30" s="271"/>
      <c r="AK30" s="271"/>
      <c r="AL30" s="271"/>
      <c r="AM30" s="271"/>
      <c r="AN30" s="271"/>
      <c r="AO30" s="276"/>
      <c r="AP30" s="273"/>
      <c r="AQ30" s="274"/>
      <c r="AR30" s="272"/>
      <c r="AS30" s="272"/>
      <c r="AT30" s="272"/>
      <c r="AU30" s="303"/>
      <c r="AV30" s="303"/>
      <c r="AW30" s="275"/>
      <c r="AX30" s="272"/>
      <c r="AY30" s="276"/>
      <c r="AZ30" s="274"/>
      <c r="BA30" s="274"/>
      <c r="BB30" s="63">
        <v>6</v>
      </c>
      <c r="BC30" s="1855"/>
      <c r="BD30" s="278"/>
      <c r="BE30" s="278"/>
      <c r="BF30" s="278"/>
      <c r="BG30" s="274"/>
      <c r="BH30" s="274"/>
      <c r="BI30" s="274"/>
      <c r="BJ30" s="274"/>
      <c r="BK30" s="274"/>
      <c r="BL30" s="274"/>
      <c r="BM30" s="274"/>
      <c r="BN30" s="274"/>
      <c r="BO30" s="274"/>
      <c r="BP30" s="275"/>
      <c r="BQ30" s="274"/>
      <c r="BR30" s="274"/>
      <c r="BS30" s="274"/>
      <c r="BT30" s="274"/>
      <c r="BU30" s="274"/>
      <c r="BV30" s="274"/>
      <c r="BW30" s="63">
        <v>6</v>
      </c>
      <c r="BX30" s="274"/>
      <c r="BY30" s="274"/>
      <c r="BZ30" s="274"/>
      <c r="CA30" s="274"/>
      <c r="CB30" s="276"/>
      <c r="CC30" s="279"/>
      <c r="CD30" s="279"/>
      <c r="CE30" s="274"/>
      <c r="CF30" s="280"/>
    </row>
    <row r="31" spans="1:85" ht="14.25" customHeight="1" x14ac:dyDescent="0.25">
      <c r="A31" s="304">
        <v>7</v>
      </c>
      <c r="B31" s="305"/>
      <c r="C31" s="281"/>
      <c r="D31" s="270"/>
      <c r="E31" s="281"/>
      <c r="F31" s="281"/>
      <c r="G31" s="270"/>
      <c r="H31" s="281"/>
      <c r="I31" s="281"/>
      <c r="J31" s="270"/>
      <c r="K31" s="281"/>
      <c r="L31" s="306"/>
      <c r="M31" s="286"/>
      <c r="N31" s="287"/>
      <c r="O31" s="287"/>
      <c r="P31" s="288"/>
      <c r="Q31" s="309"/>
      <c r="R31" s="1379"/>
      <c r="S31" s="277"/>
      <c r="T31" s="1203"/>
      <c r="U31" s="304">
        <v>7</v>
      </c>
      <c r="V31" s="281"/>
      <c r="W31" s="269"/>
      <c r="X31" s="306"/>
      <c r="Y31" s="306"/>
      <c r="Z31" s="314"/>
      <c r="AA31" s="315"/>
      <c r="AB31" s="315"/>
      <c r="AC31" s="314"/>
      <c r="AD31" s="314"/>
      <c r="AE31" s="314"/>
      <c r="AF31" s="306"/>
      <c r="AG31" s="1718"/>
      <c r="AH31" s="1718"/>
      <c r="AI31" s="1718"/>
      <c r="AJ31" s="1718"/>
      <c r="AK31" s="1718"/>
      <c r="AL31" s="1718"/>
      <c r="AM31" s="1718"/>
      <c r="AN31" s="1718"/>
      <c r="AO31" s="310"/>
      <c r="AP31" s="307"/>
      <c r="AQ31" s="281"/>
      <c r="AR31" s="313"/>
      <c r="AS31" s="313"/>
      <c r="AT31" s="313"/>
      <c r="AU31" s="311"/>
      <c r="AV31" s="311"/>
      <c r="AW31" s="312"/>
      <c r="AX31" s="313"/>
      <c r="AY31" s="290"/>
      <c r="AZ31" s="314"/>
      <c r="BA31" s="314"/>
      <c r="BB31" s="304">
        <v>7</v>
      </c>
      <c r="BC31" s="1856"/>
      <c r="BD31" s="315"/>
      <c r="BE31" s="315"/>
      <c r="BF31" s="315"/>
      <c r="BG31" s="314"/>
      <c r="BH31" s="314"/>
      <c r="BI31" s="314"/>
      <c r="BJ31" s="314"/>
      <c r="BK31" s="314"/>
      <c r="BL31" s="314"/>
      <c r="BM31" s="314"/>
      <c r="BN31" s="314"/>
      <c r="BO31" s="314"/>
      <c r="BP31" s="312"/>
      <c r="BQ31" s="314"/>
      <c r="BR31" s="314"/>
      <c r="BS31" s="314"/>
      <c r="BT31" s="314"/>
      <c r="BU31" s="314"/>
      <c r="BV31" s="314"/>
      <c r="BW31" s="304">
        <v>7</v>
      </c>
      <c r="BX31" s="314"/>
      <c r="BY31" s="314"/>
      <c r="BZ31" s="314"/>
      <c r="CA31" s="314"/>
      <c r="CB31" s="290"/>
      <c r="CC31" s="313"/>
      <c r="CD31" s="313"/>
      <c r="CE31" s="316"/>
      <c r="CF31" s="316"/>
    </row>
    <row r="32" spans="1:85" ht="14.25" customHeight="1" x14ac:dyDescent="0.25">
      <c r="A32" s="65">
        <v>8</v>
      </c>
      <c r="B32" s="282"/>
      <c r="C32" s="289"/>
      <c r="D32" s="284"/>
      <c r="E32" s="289"/>
      <c r="F32" s="289"/>
      <c r="G32" s="284"/>
      <c r="H32" s="289"/>
      <c r="I32" s="289"/>
      <c r="J32" s="284"/>
      <c r="K32" s="289"/>
      <c r="L32" s="285"/>
      <c r="M32" s="286"/>
      <c r="N32" s="287"/>
      <c r="O32" s="287"/>
      <c r="P32" s="288"/>
      <c r="Q32" s="288"/>
      <c r="R32" s="1380"/>
      <c r="S32" s="321"/>
      <c r="T32" s="322"/>
      <c r="U32" s="65">
        <v>8</v>
      </c>
      <c r="V32" s="289"/>
      <c r="W32" s="283"/>
      <c r="X32" s="285"/>
      <c r="Y32" s="285"/>
      <c r="Z32" s="294"/>
      <c r="AA32" s="295"/>
      <c r="AB32" s="295"/>
      <c r="AC32" s="294"/>
      <c r="AD32" s="294"/>
      <c r="AE32" s="294"/>
      <c r="AF32" s="285"/>
      <c r="AG32" s="297"/>
      <c r="AH32" s="297"/>
      <c r="AI32" s="297"/>
      <c r="AJ32" s="297"/>
      <c r="AK32" s="297"/>
      <c r="AL32" s="297"/>
      <c r="AM32" s="297"/>
      <c r="AN32" s="297"/>
      <c r="AO32" s="290"/>
      <c r="AP32" s="286"/>
      <c r="AQ32" s="289"/>
      <c r="AR32" s="293"/>
      <c r="AS32" s="293"/>
      <c r="AT32" s="293"/>
      <c r="AU32" s="291"/>
      <c r="AV32" s="291"/>
      <c r="AW32" s="292"/>
      <c r="AX32" s="293"/>
      <c r="AY32" s="290"/>
      <c r="AZ32" s="294"/>
      <c r="BA32" s="294"/>
      <c r="BB32" s="65">
        <v>8</v>
      </c>
      <c r="BC32" s="1856"/>
      <c r="BD32" s="295"/>
      <c r="BE32" s="295"/>
      <c r="BF32" s="295"/>
      <c r="BG32" s="294"/>
      <c r="BH32" s="294"/>
      <c r="BI32" s="294"/>
      <c r="BJ32" s="294"/>
      <c r="BK32" s="294"/>
      <c r="BL32" s="294"/>
      <c r="BM32" s="294"/>
      <c r="BN32" s="294"/>
      <c r="BO32" s="294"/>
      <c r="BP32" s="292"/>
      <c r="BQ32" s="294"/>
      <c r="BR32" s="294"/>
      <c r="BS32" s="294"/>
      <c r="BT32" s="294"/>
      <c r="BU32" s="294"/>
      <c r="BV32" s="294"/>
      <c r="BW32" s="65">
        <v>8</v>
      </c>
      <c r="BX32" s="294"/>
      <c r="BY32" s="294"/>
      <c r="BZ32" s="294"/>
      <c r="CA32" s="294"/>
      <c r="CB32" s="290"/>
      <c r="CC32" s="293"/>
      <c r="CD32" s="293"/>
      <c r="CE32" s="296"/>
      <c r="CF32" s="296"/>
    </row>
    <row r="33" spans="1:84" ht="14.25" customHeight="1" x14ac:dyDescent="0.25">
      <c r="A33" s="65">
        <v>9</v>
      </c>
      <c r="B33" s="282"/>
      <c r="C33" s="289"/>
      <c r="D33" s="284"/>
      <c r="E33" s="289"/>
      <c r="F33" s="289"/>
      <c r="G33" s="284"/>
      <c r="H33" s="289"/>
      <c r="I33" s="289"/>
      <c r="J33" s="284"/>
      <c r="K33" s="289"/>
      <c r="L33" s="285"/>
      <c r="M33" s="307"/>
      <c r="N33" s="1318"/>
      <c r="O33" s="1318"/>
      <c r="P33" s="1319"/>
      <c r="Q33" s="1319"/>
      <c r="R33" s="310"/>
      <c r="S33" s="277"/>
      <c r="T33" s="322"/>
      <c r="U33" s="65">
        <v>9</v>
      </c>
      <c r="V33" s="289"/>
      <c r="W33" s="283"/>
      <c r="X33" s="285"/>
      <c r="Y33" s="285"/>
      <c r="Z33" s="294"/>
      <c r="AA33" s="295"/>
      <c r="AB33" s="295"/>
      <c r="AC33" s="294"/>
      <c r="AD33" s="294"/>
      <c r="AE33" s="294"/>
      <c r="AF33" s="285"/>
      <c r="AG33" s="297"/>
      <c r="AH33" s="297"/>
      <c r="AI33" s="297"/>
      <c r="AJ33" s="297"/>
      <c r="AK33" s="297"/>
      <c r="AL33" s="297"/>
      <c r="AM33" s="297"/>
      <c r="AN33" s="297"/>
      <c r="AO33" s="290"/>
      <c r="AP33" s="286"/>
      <c r="AQ33" s="289"/>
      <c r="AR33" s="293"/>
      <c r="AS33" s="293"/>
      <c r="AT33" s="293"/>
      <c r="AU33" s="291"/>
      <c r="AV33" s="291"/>
      <c r="AW33" s="292"/>
      <c r="AX33" s="293"/>
      <c r="AY33" s="290"/>
      <c r="AZ33" s="294"/>
      <c r="BA33" s="294"/>
      <c r="BB33" s="65">
        <v>9</v>
      </c>
      <c r="BC33" s="1856"/>
      <c r="BD33" s="295"/>
      <c r="BE33" s="295"/>
      <c r="BF33" s="295"/>
      <c r="BG33" s="294"/>
      <c r="BH33" s="294"/>
      <c r="BI33" s="294"/>
      <c r="BJ33" s="294"/>
      <c r="BK33" s="294"/>
      <c r="BL33" s="294"/>
      <c r="BM33" s="294"/>
      <c r="BN33" s="294"/>
      <c r="BO33" s="294"/>
      <c r="BP33" s="292"/>
      <c r="BQ33" s="294"/>
      <c r="BR33" s="294"/>
      <c r="BS33" s="294"/>
      <c r="BT33" s="294"/>
      <c r="BU33" s="294"/>
      <c r="BV33" s="294"/>
      <c r="BW33" s="65">
        <v>9</v>
      </c>
      <c r="BX33" s="294"/>
      <c r="BY33" s="294"/>
      <c r="BZ33" s="294"/>
      <c r="CA33" s="294"/>
      <c r="CB33" s="290"/>
      <c r="CC33" s="293"/>
      <c r="CD33" s="293"/>
      <c r="CE33" s="296"/>
      <c r="CF33" s="296"/>
    </row>
    <row r="34" spans="1:84" ht="14.25" customHeight="1" x14ac:dyDescent="0.25">
      <c r="A34" s="65">
        <v>10</v>
      </c>
      <c r="B34" s="282"/>
      <c r="C34" s="294"/>
      <c r="D34" s="293"/>
      <c r="E34" s="294"/>
      <c r="F34" s="294"/>
      <c r="G34" s="293"/>
      <c r="H34" s="294"/>
      <c r="I34" s="294"/>
      <c r="J34" s="293"/>
      <c r="K34" s="294"/>
      <c r="L34" s="297"/>
      <c r="M34" s="1313"/>
      <c r="N34" s="1320"/>
      <c r="O34" s="1320"/>
      <c r="P34" s="1321"/>
      <c r="Q34" s="1321"/>
      <c r="R34" s="1383"/>
      <c r="S34" s="1378"/>
      <c r="T34" s="296"/>
      <c r="U34" s="65">
        <v>10</v>
      </c>
      <c r="V34" s="294"/>
      <c r="W34" s="292"/>
      <c r="X34" s="297"/>
      <c r="Y34" s="297"/>
      <c r="Z34" s="294"/>
      <c r="AA34" s="295"/>
      <c r="AB34" s="295"/>
      <c r="AC34" s="294"/>
      <c r="AD34" s="294"/>
      <c r="AE34" s="294"/>
      <c r="AF34" s="297"/>
      <c r="AG34" s="297"/>
      <c r="AH34" s="297"/>
      <c r="AI34" s="297"/>
      <c r="AJ34" s="297"/>
      <c r="AK34" s="297"/>
      <c r="AL34" s="297"/>
      <c r="AM34" s="297"/>
      <c r="AN34" s="297"/>
      <c r="AO34" s="301"/>
      <c r="AP34" s="298"/>
      <c r="AQ34" s="294"/>
      <c r="AR34" s="293"/>
      <c r="AS34" s="293"/>
      <c r="AT34" s="293"/>
      <c r="AU34" s="291"/>
      <c r="AV34" s="291"/>
      <c r="AW34" s="292"/>
      <c r="AX34" s="293"/>
      <c r="AY34" s="301"/>
      <c r="AZ34" s="294"/>
      <c r="BA34" s="294"/>
      <c r="BB34" s="65">
        <v>10</v>
      </c>
      <c r="BC34" s="1857"/>
      <c r="BD34" s="295"/>
      <c r="BE34" s="295"/>
      <c r="BF34" s="295"/>
      <c r="BG34" s="294"/>
      <c r="BH34" s="294"/>
      <c r="BI34" s="294"/>
      <c r="BJ34" s="294"/>
      <c r="BK34" s="294"/>
      <c r="BL34" s="294"/>
      <c r="BM34" s="294"/>
      <c r="BN34" s="294"/>
      <c r="BO34" s="294"/>
      <c r="BP34" s="292"/>
      <c r="BQ34" s="294"/>
      <c r="BR34" s="294"/>
      <c r="BS34" s="294"/>
      <c r="BT34" s="294"/>
      <c r="BU34" s="294"/>
      <c r="BV34" s="294"/>
      <c r="BW34" s="65">
        <v>10</v>
      </c>
      <c r="BX34" s="294"/>
      <c r="BY34" s="294"/>
      <c r="BZ34" s="294"/>
      <c r="CA34" s="294"/>
      <c r="CB34" s="301"/>
      <c r="CC34" s="293"/>
      <c r="CD34" s="293"/>
      <c r="CE34" s="296"/>
      <c r="CF34" s="296"/>
    </row>
    <row r="35" spans="1:84" ht="14.25" customHeight="1" x14ac:dyDescent="0.25">
      <c r="A35" s="63">
        <v>11</v>
      </c>
      <c r="B35" s="302"/>
      <c r="C35" s="274"/>
      <c r="D35" s="278"/>
      <c r="E35" s="274"/>
      <c r="F35" s="274"/>
      <c r="G35" s="278"/>
      <c r="H35" s="274"/>
      <c r="I35" s="274"/>
      <c r="J35" s="278"/>
      <c r="K35" s="274"/>
      <c r="L35" s="271"/>
      <c r="M35" s="307"/>
      <c r="N35" s="1318"/>
      <c r="O35" s="1318"/>
      <c r="P35" s="1319"/>
      <c r="Q35" s="1319"/>
      <c r="R35" s="310"/>
      <c r="S35" s="269"/>
      <c r="T35" s="274"/>
      <c r="U35" s="63">
        <v>11</v>
      </c>
      <c r="V35" s="274"/>
      <c r="W35" s="275"/>
      <c r="X35" s="271"/>
      <c r="Y35" s="271"/>
      <c r="Z35" s="274"/>
      <c r="AA35" s="278"/>
      <c r="AB35" s="278"/>
      <c r="AC35" s="274"/>
      <c r="AD35" s="274"/>
      <c r="AE35" s="274"/>
      <c r="AF35" s="271"/>
      <c r="AG35" s="271"/>
      <c r="AH35" s="271"/>
      <c r="AI35" s="271"/>
      <c r="AJ35" s="271"/>
      <c r="AK35" s="271"/>
      <c r="AL35" s="271"/>
      <c r="AM35" s="271"/>
      <c r="AN35" s="271"/>
      <c r="AO35" s="276"/>
      <c r="AP35" s="273"/>
      <c r="AQ35" s="274"/>
      <c r="AR35" s="272"/>
      <c r="AS35" s="272"/>
      <c r="AT35" s="272"/>
      <c r="AU35" s="303"/>
      <c r="AV35" s="303"/>
      <c r="AW35" s="275"/>
      <c r="AX35" s="272"/>
      <c r="AY35" s="276"/>
      <c r="AZ35" s="274"/>
      <c r="BA35" s="274"/>
      <c r="BB35" s="63">
        <v>11</v>
      </c>
      <c r="BC35" s="1855"/>
      <c r="BD35" s="278"/>
      <c r="BE35" s="278"/>
      <c r="BF35" s="278"/>
      <c r="BG35" s="274"/>
      <c r="BH35" s="274"/>
      <c r="BI35" s="274"/>
      <c r="BJ35" s="274"/>
      <c r="BK35" s="274"/>
      <c r="BL35" s="274"/>
      <c r="BM35" s="274"/>
      <c r="BN35" s="274"/>
      <c r="BO35" s="274"/>
      <c r="BP35" s="275"/>
      <c r="BQ35" s="274"/>
      <c r="BR35" s="274"/>
      <c r="BS35" s="274"/>
      <c r="BT35" s="274"/>
      <c r="BU35" s="274"/>
      <c r="BV35" s="274"/>
      <c r="BW35" s="63">
        <v>11</v>
      </c>
      <c r="BX35" s="274"/>
      <c r="BY35" s="274"/>
      <c r="BZ35" s="274"/>
      <c r="CA35" s="274"/>
      <c r="CB35" s="276"/>
      <c r="CC35" s="278"/>
      <c r="CD35" s="278"/>
      <c r="CE35" s="274"/>
      <c r="CF35" s="274"/>
    </row>
    <row r="36" spans="1:84" ht="14.25" customHeight="1" x14ac:dyDescent="0.25">
      <c r="A36" s="65">
        <v>12</v>
      </c>
      <c r="B36" s="282"/>
      <c r="C36" s="289"/>
      <c r="D36" s="317"/>
      <c r="E36" s="289"/>
      <c r="F36" s="289"/>
      <c r="G36" s="317"/>
      <c r="H36" s="289"/>
      <c r="I36" s="289"/>
      <c r="J36" s="317"/>
      <c r="K36" s="289"/>
      <c r="L36" s="285"/>
      <c r="M36" s="286"/>
      <c r="N36" s="318"/>
      <c r="O36" s="318"/>
      <c r="P36" s="319"/>
      <c r="Q36" s="319"/>
      <c r="R36" s="290"/>
      <c r="S36" s="283"/>
      <c r="T36" s="289"/>
      <c r="U36" s="65">
        <v>12</v>
      </c>
      <c r="V36" s="289"/>
      <c r="W36" s="283"/>
      <c r="X36" s="285"/>
      <c r="Y36" s="285"/>
      <c r="Z36" s="294"/>
      <c r="AA36" s="295"/>
      <c r="AB36" s="295"/>
      <c r="AC36" s="294"/>
      <c r="AD36" s="294"/>
      <c r="AE36" s="294"/>
      <c r="AF36" s="285"/>
      <c r="AG36" s="297"/>
      <c r="AH36" s="297"/>
      <c r="AI36" s="297"/>
      <c r="AJ36" s="297"/>
      <c r="AK36" s="297"/>
      <c r="AL36" s="297"/>
      <c r="AM36" s="297"/>
      <c r="AN36" s="297"/>
      <c r="AO36" s="290"/>
      <c r="AP36" s="286"/>
      <c r="AQ36" s="289"/>
      <c r="AR36" s="293"/>
      <c r="AS36" s="293"/>
      <c r="AT36" s="293"/>
      <c r="AU36" s="291"/>
      <c r="AV36" s="291"/>
      <c r="AW36" s="292"/>
      <c r="AX36" s="293"/>
      <c r="AY36" s="290"/>
      <c r="AZ36" s="294"/>
      <c r="BA36" s="294"/>
      <c r="BB36" s="65">
        <v>12</v>
      </c>
      <c r="BC36" s="1856"/>
      <c r="BD36" s="295"/>
      <c r="BE36" s="295"/>
      <c r="BF36" s="295"/>
      <c r="BG36" s="294"/>
      <c r="BH36" s="294"/>
      <c r="BI36" s="294"/>
      <c r="BJ36" s="294"/>
      <c r="BK36" s="294"/>
      <c r="BL36" s="294"/>
      <c r="BM36" s="294"/>
      <c r="BN36" s="294"/>
      <c r="BO36" s="294"/>
      <c r="BP36" s="292"/>
      <c r="BQ36" s="294"/>
      <c r="BR36" s="294"/>
      <c r="BS36" s="294"/>
      <c r="BT36" s="296"/>
      <c r="BU36" s="296"/>
      <c r="BV36" s="296"/>
      <c r="BW36" s="65">
        <v>12</v>
      </c>
      <c r="BX36" s="296"/>
      <c r="BY36" s="296"/>
      <c r="BZ36" s="296"/>
      <c r="CA36" s="296"/>
      <c r="CB36" s="290"/>
      <c r="CC36" s="295"/>
      <c r="CD36" s="295"/>
      <c r="CE36" s="294"/>
      <c r="CF36" s="294"/>
    </row>
    <row r="37" spans="1:84" ht="14.25" customHeight="1" x14ac:dyDescent="0.25">
      <c r="A37" s="65">
        <v>13</v>
      </c>
      <c r="B37" s="282"/>
      <c r="C37" s="289"/>
      <c r="D37" s="317"/>
      <c r="E37" s="289"/>
      <c r="F37" s="289"/>
      <c r="G37" s="317"/>
      <c r="H37" s="289"/>
      <c r="I37" s="289"/>
      <c r="J37" s="317"/>
      <c r="K37" s="289"/>
      <c r="L37" s="285"/>
      <c r="M37" s="286"/>
      <c r="N37" s="318"/>
      <c r="O37" s="318"/>
      <c r="P37" s="319"/>
      <c r="Q37" s="319"/>
      <c r="R37" s="290"/>
      <c r="S37" s="283"/>
      <c r="T37" s="289"/>
      <c r="U37" s="65">
        <v>13</v>
      </c>
      <c r="V37" s="289"/>
      <c r="W37" s="283"/>
      <c r="X37" s="285"/>
      <c r="Y37" s="285"/>
      <c r="Z37" s="294"/>
      <c r="AA37" s="295"/>
      <c r="AB37" s="295"/>
      <c r="AC37" s="294"/>
      <c r="AD37" s="294"/>
      <c r="AE37" s="294"/>
      <c r="AF37" s="285"/>
      <c r="AG37" s="297"/>
      <c r="AH37" s="297"/>
      <c r="AI37" s="297"/>
      <c r="AJ37" s="297"/>
      <c r="AK37" s="297"/>
      <c r="AL37" s="297"/>
      <c r="AM37" s="297"/>
      <c r="AN37" s="297"/>
      <c r="AO37" s="290"/>
      <c r="AP37" s="286"/>
      <c r="AQ37" s="289"/>
      <c r="AR37" s="293"/>
      <c r="AS37" s="293"/>
      <c r="AT37" s="293"/>
      <c r="AU37" s="291"/>
      <c r="AV37" s="291"/>
      <c r="AW37" s="292"/>
      <c r="AX37" s="293"/>
      <c r="AY37" s="290"/>
      <c r="AZ37" s="294"/>
      <c r="BA37" s="294"/>
      <c r="BB37" s="65">
        <v>13</v>
      </c>
      <c r="BC37" s="1856"/>
      <c r="BD37" s="295"/>
      <c r="BE37" s="295"/>
      <c r="BF37" s="295"/>
      <c r="BG37" s="294"/>
      <c r="BH37" s="294"/>
      <c r="BI37" s="294"/>
      <c r="BJ37" s="294"/>
      <c r="BK37" s="294"/>
      <c r="BL37" s="294"/>
      <c r="BM37" s="294"/>
      <c r="BN37" s="294"/>
      <c r="BO37" s="294"/>
      <c r="BP37" s="292"/>
      <c r="BQ37" s="294"/>
      <c r="BR37" s="294"/>
      <c r="BS37" s="294"/>
      <c r="BT37" s="296"/>
      <c r="BU37" s="296"/>
      <c r="BV37" s="296"/>
      <c r="BW37" s="65">
        <v>13</v>
      </c>
      <c r="BX37" s="296"/>
      <c r="BY37" s="296"/>
      <c r="BZ37" s="296"/>
      <c r="CA37" s="296"/>
      <c r="CB37" s="290"/>
      <c r="CC37" s="293"/>
      <c r="CD37" s="293"/>
      <c r="CE37" s="296"/>
      <c r="CF37" s="296"/>
    </row>
    <row r="38" spans="1:84" ht="14.25" customHeight="1" x14ac:dyDescent="0.25">
      <c r="A38" s="65">
        <v>14</v>
      </c>
      <c r="B38" s="282"/>
      <c r="C38" s="289"/>
      <c r="D38" s="317"/>
      <c r="E38" s="289"/>
      <c r="F38" s="289"/>
      <c r="G38" s="317"/>
      <c r="H38" s="289"/>
      <c r="I38" s="289"/>
      <c r="J38" s="317"/>
      <c r="K38" s="289"/>
      <c r="L38" s="285"/>
      <c r="M38" s="1325"/>
      <c r="N38" s="1326"/>
      <c r="O38" s="1326"/>
      <c r="P38" s="1327"/>
      <c r="Q38" s="1327"/>
      <c r="R38" s="973"/>
      <c r="S38" s="283"/>
      <c r="T38" s="289"/>
      <c r="U38" s="65">
        <v>14</v>
      </c>
      <c r="V38" s="289"/>
      <c r="W38" s="283"/>
      <c r="X38" s="285"/>
      <c r="Y38" s="285"/>
      <c r="Z38" s="294"/>
      <c r="AA38" s="295"/>
      <c r="AB38" s="295"/>
      <c r="AC38" s="294"/>
      <c r="AD38" s="294"/>
      <c r="AE38" s="294"/>
      <c r="AF38" s="285"/>
      <c r="AG38" s="297"/>
      <c r="AH38" s="297"/>
      <c r="AI38" s="297"/>
      <c r="AJ38" s="297"/>
      <c r="AK38" s="297"/>
      <c r="AL38" s="297"/>
      <c r="AM38" s="297"/>
      <c r="AN38" s="297"/>
      <c r="AO38" s="290"/>
      <c r="AP38" s="286"/>
      <c r="AQ38" s="289"/>
      <c r="AR38" s="293"/>
      <c r="AS38" s="293"/>
      <c r="AT38" s="293"/>
      <c r="AU38" s="291"/>
      <c r="AV38" s="291"/>
      <c r="AW38" s="292"/>
      <c r="AX38" s="293"/>
      <c r="AY38" s="290"/>
      <c r="AZ38" s="294"/>
      <c r="BA38" s="294"/>
      <c r="BB38" s="65">
        <v>14</v>
      </c>
      <c r="BC38" s="1856"/>
      <c r="BD38" s="295"/>
      <c r="BE38" s="295"/>
      <c r="BF38" s="295"/>
      <c r="BG38" s="294"/>
      <c r="BH38" s="294"/>
      <c r="BI38" s="294"/>
      <c r="BJ38" s="294"/>
      <c r="BK38" s="294"/>
      <c r="BL38" s="294"/>
      <c r="BM38" s="294"/>
      <c r="BN38" s="294"/>
      <c r="BO38" s="294"/>
      <c r="BP38" s="292"/>
      <c r="BQ38" s="294"/>
      <c r="BR38" s="294"/>
      <c r="BS38" s="294"/>
      <c r="BT38" s="296"/>
      <c r="BU38" s="296"/>
      <c r="BV38" s="296"/>
      <c r="BW38" s="65">
        <v>14</v>
      </c>
      <c r="BX38" s="296"/>
      <c r="BY38" s="296"/>
      <c r="BZ38" s="296"/>
      <c r="CA38" s="296"/>
      <c r="CB38" s="290"/>
      <c r="CC38" s="293"/>
      <c r="CD38" s="293"/>
      <c r="CE38" s="296"/>
      <c r="CF38" s="296"/>
    </row>
    <row r="39" spans="1:84" ht="14.25" customHeight="1" x14ac:dyDescent="0.25">
      <c r="A39" s="64">
        <v>15</v>
      </c>
      <c r="B39" s="320"/>
      <c r="C39" s="289"/>
      <c r="D39" s="317"/>
      <c r="E39" s="289"/>
      <c r="F39" s="289"/>
      <c r="G39" s="317"/>
      <c r="H39" s="289"/>
      <c r="I39" s="289"/>
      <c r="J39" s="317"/>
      <c r="K39" s="289"/>
      <c r="L39" s="285"/>
      <c r="M39" s="1322"/>
      <c r="N39" s="1323"/>
      <c r="O39" s="1323"/>
      <c r="P39" s="1324"/>
      <c r="Q39" s="1324"/>
      <c r="R39" s="1384"/>
      <c r="S39" s="269"/>
      <c r="T39" s="289"/>
      <c r="U39" s="64">
        <v>15</v>
      </c>
      <c r="V39" s="289"/>
      <c r="W39" s="283"/>
      <c r="X39" s="285"/>
      <c r="Y39" s="285"/>
      <c r="Z39" s="289"/>
      <c r="AA39" s="317"/>
      <c r="AB39" s="317"/>
      <c r="AC39" s="289"/>
      <c r="AD39" s="289"/>
      <c r="AE39" s="289"/>
      <c r="AF39" s="285"/>
      <c r="AG39" s="285"/>
      <c r="AH39" s="285"/>
      <c r="AI39" s="285"/>
      <c r="AJ39" s="285"/>
      <c r="AK39" s="285"/>
      <c r="AL39" s="285"/>
      <c r="AM39" s="285"/>
      <c r="AN39" s="285"/>
      <c r="AO39" s="290"/>
      <c r="AP39" s="286"/>
      <c r="AQ39" s="289"/>
      <c r="AR39" s="284"/>
      <c r="AS39" s="284"/>
      <c r="AT39" s="284"/>
      <c r="AU39" s="321"/>
      <c r="AV39" s="321"/>
      <c r="AW39" s="283"/>
      <c r="AX39" s="284"/>
      <c r="AY39" s="290"/>
      <c r="AZ39" s="289"/>
      <c r="BA39" s="289"/>
      <c r="BB39" s="64">
        <v>15</v>
      </c>
      <c r="BC39" s="1856"/>
      <c r="BD39" s="317"/>
      <c r="BE39" s="317"/>
      <c r="BF39" s="317"/>
      <c r="BG39" s="289"/>
      <c r="BH39" s="289"/>
      <c r="BI39" s="289"/>
      <c r="BJ39" s="289"/>
      <c r="BK39" s="289"/>
      <c r="BL39" s="289"/>
      <c r="BM39" s="289"/>
      <c r="BN39" s="289"/>
      <c r="BO39" s="289"/>
      <c r="BP39" s="283"/>
      <c r="BQ39" s="289"/>
      <c r="BR39" s="289"/>
      <c r="BS39" s="289"/>
      <c r="BT39" s="322"/>
      <c r="BU39" s="322"/>
      <c r="BV39" s="322"/>
      <c r="BW39" s="64">
        <v>15</v>
      </c>
      <c r="BX39" s="322"/>
      <c r="BY39" s="322"/>
      <c r="BZ39" s="322"/>
      <c r="CA39" s="322"/>
      <c r="CB39" s="290"/>
      <c r="CC39" s="284"/>
      <c r="CD39" s="284"/>
      <c r="CE39" s="322"/>
      <c r="CF39" s="322"/>
    </row>
  </sheetData>
  <mergeCells count="160">
    <mergeCell ref="T4:T13"/>
    <mergeCell ref="CA14:CA22"/>
    <mergeCell ref="BW3:BW24"/>
    <mergeCell ref="AS4:AS8"/>
    <mergeCell ref="AT4:AT8"/>
    <mergeCell ref="AS10:AS11"/>
    <mergeCell ref="AZ7:AZ10"/>
    <mergeCell ref="BD10:BO10"/>
    <mergeCell ref="BX15:BX20"/>
    <mergeCell ref="BS4:BS11"/>
    <mergeCell ref="BJ14:BJ24"/>
    <mergeCell ref="BM14:BM24"/>
    <mergeCell ref="BL14:BL24"/>
    <mergeCell ref="BE14:BE24"/>
    <mergeCell ref="BO14:BO24"/>
    <mergeCell ref="BH14:BH24"/>
    <mergeCell ref="Y4:Y11"/>
    <mergeCell ref="CB13:CB14"/>
    <mergeCell ref="AS13:AS14"/>
    <mergeCell ref="AZ11:AZ12"/>
    <mergeCell ref="AY4:AY6"/>
    <mergeCell ref="BA4:BA10"/>
    <mergeCell ref="AZ13:AZ15"/>
    <mergeCell ref="AU4:AX5"/>
    <mergeCell ref="AR4:AR12"/>
    <mergeCell ref="AA14:AA24"/>
    <mergeCell ref="AB14:AB24"/>
    <mergeCell ref="AC14:AC24"/>
    <mergeCell ref="AO17:AO18"/>
    <mergeCell ref="AO19:AO20"/>
    <mergeCell ref="AD14:AD24"/>
    <mergeCell ref="Z4:AE8"/>
    <mergeCell ref="Z10:AE10"/>
    <mergeCell ref="AO14:AO16"/>
    <mergeCell ref="Z11:AE12"/>
    <mergeCell ref="AE14:AE24"/>
    <mergeCell ref="AU24:AX24"/>
    <mergeCell ref="BB3:BB24"/>
    <mergeCell ref="BT15:BT20"/>
    <mergeCell ref="AZ20:AZ21"/>
    <mergeCell ref="F13:F24"/>
    <mergeCell ref="C10:E10"/>
    <mergeCell ref="E13:E24"/>
    <mergeCell ref="BD3:BG3"/>
    <mergeCell ref="S12:S13"/>
    <mergeCell ref="M10:P10"/>
    <mergeCell ref="AQ4:AQ10"/>
    <mergeCell ref="W4:W8"/>
    <mergeCell ref="AO10:AO11"/>
    <mergeCell ref="AO12:AO13"/>
    <mergeCell ref="AZ4:AZ5"/>
    <mergeCell ref="AY13:AY14"/>
    <mergeCell ref="M11:P11"/>
    <mergeCell ref="AZ16:AZ19"/>
    <mergeCell ref="AU6:AX22"/>
    <mergeCell ref="BC4:BC9"/>
    <mergeCell ref="BD14:BD24"/>
    <mergeCell ref="M21:P21"/>
    <mergeCell ref="M14:P14"/>
    <mergeCell ref="X4:X9"/>
    <mergeCell ref="Z3:AC3"/>
    <mergeCell ref="Z14:Z24"/>
    <mergeCell ref="AY15:AY16"/>
    <mergeCell ref="AY19:AY21"/>
    <mergeCell ref="A3:A24"/>
    <mergeCell ref="U3:U24"/>
    <mergeCell ref="S16:S17"/>
    <mergeCell ref="L19:L20"/>
    <mergeCell ref="M4:P7"/>
    <mergeCell ref="M16:P16"/>
    <mergeCell ref="R4:R11"/>
    <mergeCell ref="R14:R15"/>
    <mergeCell ref="M20:P20"/>
    <mergeCell ref="L4:L10"/>
    <mergeCell ref="C13:C24"/>
    <mergeCell ref="H13:H24"/>
    <mergeCell ref="C11:E11"/>
    <mergeCell ref="G13:G24"/>
    <mergeCell ref="C4:E7"/>
    <mergeCell ref="D13:D24"/>
    <mergeCell ref="M19:P19"/>
    <mergeCell ref="M17:P17"/>
    <mergeCell ref="B4:B23"/>
    <mergeCell ref="F4:H7"/>
    <mergeCell ref="M15:P15"/>
    <mergeCell ref="M12:P12"/>
    <mergeCell ref="F10:H10"/>
    <mergeCell ref="F11:H11"/>
    <mergeCell ref="CF4:CF7"/>
    <mergeCell ref="CE13:CE14"/>
    <mergeCell ref="CE4:CE10"/>
    <mergeCell ref="BK14:BK24"/>
    <mergeCell ref="BX4:BX14"/>
    <mergeCell ref="CA4:CA12"/>
    <mergeCell ref="BZ15:BZ20"/>
    <mergeCell ref="BD4:BO8"/>
    <mergeCell ref="CC13:CC15"/>
    <mergeCell ref="CD4:CD9"/>
    <mergeCell ref="CB15:CB16"/>
    <mergeCell ref="BY4:BY11"/>
    <mergeCell ref="BR4:BR13"/>
    <mergeCell ref="BS15:BS20"/>
    <mergeCell ref="BY15:BY20"/>
    <mergeCell ref="BR15:BR20"/>
    <mergeCell ref="BT4:BT13"/>
    <mergeCell ref="BG14:BG24"/>
    <mergeCell ref="CB4:CB9"/>
    <mergeCell ref="BV4:BV13"/>
    <mergeCell ref="BQ4:BQ8"/>
    <mergeCell ref="CC4:CC5"/>
    <mergeCell ref="CB19:CB21"/>
    <mergeCell ref="CC7:CC10"/>
    <mergeCell ref="CC11:CC12"/>
    <mergeCell ref="CC16:CC19"/>
    <mergeCell ref="AG3:AJ3"/>
    <mergeCell ref="AG4:AN8"/>
    <mergeCell ref="BU4:BU13"/>
    <mergeCell ref="BV15:BV20"/>
    <mergeCell ref="BZ4:BZ11"/>
    <mergeCell ref="AI14:AI24"/>
    <mergeCell ref="AO4:AO7"/>
    <mergeCell ref="AM14:AM24"/>
    <mergeCell ref="AN14:AN24"/>
    <mergeCell ref="AG10:AN10"/>
    <mergeCell ref="AG11:AN12"/>
    <mergeCell ref="AP4:AP7"/>
    <mergeCell ref="AO8:AO9"/>
    <mergeCell ref="AG14:AG24"/>
    <mergeCell ref="AH14:AH24"/>
    <mergeCell ref="AJ14:AJ24"/>
    <mergeCell ref="AK14:AK24"/>
    <mergeCell ref="AP17:AP18"/>
    <mergeCell ref="AP19:AP23"/>
    <mergeCell ref="BD11:BO12"/>
    <mergeCell ref="BF14:BF24"/>
    <mergeCell ref="BU15:BU20"/>
    <mergeCell ref="I4:K7"/>
    <mergeCell ref="I10:K10"/>
    <mergeCell ref="I11:K11"/>
    <mergeCell ref="I13:I24"/>
    <mergeCell ref="J13:J24"/>
    <mergeCell ref="K13:K24"/>
    <mergeCell ref="BN14:BN24"/>
    <mergeCell ref="AL14:AL24"/>
    <mergeCell ref="BC15:BC16"/>
    <mergeCell ref="BI14:BI24"/>
    <mergeCell ref="S18:S19"/>
    <mergeCell ref="M24:P24"/>
    <mergeCell ref="AF4:AF9"/>
    <mergeCell ref="V4:V14"/>
    <mergeCell ref="S14:S15"/>
    <mergeCell ref="M13:P13"/>
    <mergeCell ref="S4:S10"/>
    <mergeCell ref="M8:P8"/>
    <mergeCell ref="M18:P18"/>
    <mergeCell ref="V19:V20"/>
    <mergeCell ref="Q4:Q12"/>
    <mergeCell ref="M22:P23"/>
    <mergeCell ref="AU23:AX23"/>
    <mergeCell ref="M9:P9"/>
  </mergeCells>
  <pageMargins left="0.314" right="0.314" top="0.11799999999999999" bottom="0.27500000000000002" header="0.157" footer="0.11799999999999999"/>
  <pageSetup scale="81" firstPageNumber="7" orientation="landscape" r:id="rId1"/>
  <headerFooter>
    <oddFooter>&amp;C&amp;P</oddFooter>
  </headerFooter>
  <colBreaks count="4" manualBreakCount="4">
    <brk id="20" max="38" man="1"/>
    <brk id="40" max="38" man="1"/>
    <brk id="53" max="38" man="1"/>
    <brk id="74" max="3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E43"/>
  <sheetViews>
    <sheetView topLeftCell="C15" zoomScale="120" zoomScaleNormal="120" zoomScaleSheetLayoutView="80" zoomScalePageLayoutView="90" workbookViewId="0">
      <selection activeCell="M25" sqref="M25:M26"/>
    </sheetView>
  </sheetViews>
  <sheetFormatPr defaultColWidth="8.81640625" defaultRowHeight="13" x14ac:dyDescent="0.3"/>
  <cols>
    <col min="1" max="1" width="3.453125" style="326" customWidth="1"/>
    <col min="2" max="2" width="5.453125" style="326" customWidth="1"/>
    <col min="3" max="3" width="11.7265625" style="326" customWidth="1"/>
    <col min="4" max="4" width="5.1796875" style="326" customWidth="1"/>
    <col min="5" max="5" width="13" style="326" customWidth="1"/>
    <col min="6" max="6" width="10.81640625" style="326" customWidth="1"/>
    <col min="7" max="7" width="1.7265625" style="326" bestFit="1" customWidth="1"/>
    <col min="8" max="8" width="9.7265625" style="326" customWidth="1"/>
    <col min="9" max="9" width="10" style="397" customWidth="1"/>
    <col min="10" max="10" width="2.453125" style="397" customWidth="1"/>
    <col min="11" max="11" width="14.1796875" style="397" customWidth="1"/>
    <col min="12" max="12" width="2.81640625" style="326" customWidth="1"/>
    <col min="13" max="13" width="20.1796875" style="326" customWidth="1"/>
    <col min="14" max="14" width="15.81640625" style="326" customWidth="1"/>
    <col min="15" max="15" width="12.1796875" style="326" customWidth="1"/>
    <col min="16" max="16" width="3.453125" style="326" customWidth="1"/>
    <col min="17" max="24" width="3.453125" style="326" bestFit="1" customWidth="1"/>
    <col min="25" max="25" width="4.26953125" style="326" customWidth="1"/>
    <col min="26" max="26" width="3.81640625" style="326" customWidth="1"/>
    <col min="27" max="27" width="3.453125" style="326" bestFit="1" customWidth="1"/>
    <col min="28" max="28" width="3" style="326" customWidth="1"/>
    <col min="29" max="29" width="8.7265625" style="326" customWidth="1"/>
    <col min="30" max="30" width="11" style="326" customWidth="1"/>
    <col min="31" max="31" width="10.1796875" style="326" customWidth="1"/>
    <col min="32" max="32" width="10.81640625" style="326" customWidth="1"/>
    <col min="33" max="33" width="9.7265625" style="326" customWidth="1"/>
    <col min="34" max="34" width="8" style="326" customWidth="1"/>
    <col min="35" max="37" width="9.1796875" style="326" customWidth="1"/>
    <col min="38" max="38" width="11.1796875" style="326" customWidth="1"/>
    <col min="39" max="39" width="3.453125" style="326" customWidth="1"/>
    <col min="40" max="40" width="11" style="326" customWidth="1"/>
    <col min="41" max="41" width="15" style="326" customWidth="1"/>
    <col min="42" max="42" width="24.7265625" style="326" customWidth="1"/>
    <col min="43" max="43" width="11" style="326" customWidth="1"/>
    <col min="44" max="44" width="2.453125" style="326" bestFit="1" customWidth="1"/>
    <col min="45" max="45" width="22.453125" style="326" customWidth="1"/>
    <col min="46" max="48" width="14.81640625" style="326" customWidth="1"/>
    <col min="49" max="49" width="15.453125" style="326" customWidth="1"/>
    <col min="50" max="50" width="16.81640625" style="326" customWidth="1"/>
    <col min="51" max="51" width="3.453125" style="326" customWidth="1"/>
    <col min="52" max="52" width="14.453125" style="326" customWidth="1"/>
    <col min="53" max="53" width="11.1796875" style="326" customWidth="1"/>
    <col min="54" max="54" width="13.1796875" style="326" customWidth="1"/>
    <col min="55" max="55" width="13.453125" style="326" customWidth="1"/>
    <col min="56" max="56" width="11.1796875" style="326" customWidth="1"/>
    <col min="57" max="58" width="13.453125" style="326" customWidth="1"/>
    <col min="59" max="59" width="10.453125" style="326" customWidth="1"/>
    <col min="60" max="60" width="10" style="326" customWidth="1"/>
    <col min="61" max="61" width="12.1796875" style="326" customWidth="1"/>
    <col min="62" max="62" width="11.1796875" style="326" customWidth="1"/>
    <col min="63" max="63" width="3.453125" style="326" customWidth="1"/>
    <col min="64" max="64" width="14.1796875" style="326" customWidth="1"/>
    <col min="65" max="65" width="15.1796875" style="397" customWidth="1"/>
    <col min="66" max="66" width="8.453125" style="326" customWidth="1"/>
    <col min="67" max="67" width="10.1796875" style="326" customWidth="1"/>
    <col min="68" max="68" width="17.1796875" style="326" customWidth="1"/>
    <col min="69" max="73" width="10.81640625" style="326" customWidth="1"/>
    <col min="74" max="74" width="10.81640625" customWidth="1"/>
    <col min="75" max="75" width="0.453125" customWidth="1"/>
    <col min="76" max="76" width="13.26953125" style="326" customWidth="1"/>
    <col min="77" max="79" width="10.81640625" style="326" customWidth="1"/>
    <col min="80" max="80" width="10.81640625" customWidth="1"/>
    <col min="81" max="81" width="0.453125" style="326" customWidth="1"/>
    <col min="82" max="82" width="10.81640625" style="326" customWidth="1"/>
    <col min="83" max="83" width="14.7265625" style="326" customWidth="1"/>
  </cols>
  <sheetData>
    <row r="1" spans="1:83" ht="15.75" customHeight="1" x14ac:dyDescent="0.35">
      <c r="A1" s="324" t="s">
        <v>521</v>
      </c>
      <c r="B1" s="324"/>
      <c r="C1" s="218"/>
      <c r="D1" s="218"/>
      <c r="E1" s="225"/>
      <c r="F1" s="225"/>
      <c r="G1" s="225"/>
      <c r="H1" s="225"/>
      <c r="I1" s="226"/>
      <c r="J1" s="325"/>
      <c r="K1" s="226"/>
      <c r="L1" s="225"/>
      <c r="M1" s="225"/>
      <c r="N1" s="225"/>
      <c r="O1" s="225"/>
      <c r="P1" s="324" t="s">
        <v>521</v>
      </c>
      <c r="R1" s="327"/>
      <c r="S1" s="327"/>
      <c r="T1" s="327"/>
      <c r="U1" s="231"/>
      <c r="V1" s="231"/>
      <c r="W1" s="231"/>
      <c r="X1" s="231"/>
      <c r="Y1" s="231"/>
      <c r="Z1" s="231"/>
      <c r="AA1" s="231"/>
      <c r="AB1" s="225"/>
      <c r="AC1" s="225"/>
      <c r="AD1" s="225"/>
      <c r="AE1" s="225"/>
      <c r="AF1" s="225"/>
      <c r="AG1" s="225"/>
      <c r="AH1" s="225"/>
      <c r="AI1" s="225"/>
      <c r="AJ1" s="225"/>
      <c r="AK1" s="225"/>
      <c r="AL1" s="225"/>
      <c r="AM1" s="324" t="s">
        <v>521</v>
      </c>
      <c r="AN1" s="225"/>
      <c r="AO1" s="225"/>
      <c r="AP1" s="218"/>
      <c r="AQ1" s="225"/>
      <c r="AR1" s="225"/>
      <c r="AS1" s="225"/>
      <c r="AT1" s="225"/>
      <c r="AU1" s="225"/>
      <c r="AV1" s="225"/>
      <c r="AW1" s="225"/>
      <c r="AX1" s="227"/>
      <c r="AY1" s="324" t="s">
        <v>521</v>
      </c>
      <c r="AZ1" s="324"/>
      <c r="BA1" s="225"/>
      <c r="BB1" s="225"/>
      <c r="BC1" s="225"/>
      <c r="BD1" s="225"/>
      <c r="BE1" s="225"/>
      <c r="BF1" s="225"/>
      <c r="BG1" s="227"/>
      <c r="BH1" s="227"/>
      <c r="BI1" s="227"/>
      <c r="BJ1" s="225"/>
      <c r="BK1" s="324" t="s">
        <v>521</v>
      </c>
      <c r="BL1" s="227"/>
      <c r="BM1" s="325"/>
      <c r="BN1" s="225"/>
      <c r="BO1" s="227"/>
      <c r="BP1" s="225"/>
      <c r="BQ1" s="227"/>
      <c r="BR1" s="225"/>
      <c r="BS1" s="227"/>
      <c r="BT1" s="227"/>
      <c r="BU1" s="227"/>
      <c r="BX1" s="227"/>
      <c r="BY1" s="227"/>
      <c r="BZ1" s="227"/>
      <c r="CA1" s="227"/>
      <c r="CC1" s="227"/>
      <c r="CD1" s="227"/>
      <c r="CE1" s="227"/>
    </row>
    <row r="2" spans="1:83" ht="15.75" customHeight="1" x14ac:dyDescent="0.3">
      <c r="A2" s="324"/>
      <c r="B2" s="324"/>
      <c r="C2" s="218"/>
      <c r="D2" s="218"/>
      <c r="E2" s="329"/>
      <c r="F2" s="329"/>
      <c r="G2" s="329"/>
      <c r="H2" s="329"/>
      <c r="I2" s="330"/>
      <c r="J2" s="331"/>
      <c r="K2" s="330"/>
      <c r="L2" s="329"/>
      <c r="M2" s="329"/>
      <c r="N2" s="329"/>
      <c r="O2" s="329"/>
      <c r="P2" s="324"/>
      <c r="R2" s="332"/>
      <c r="S2" s="332"/>
      <c r="T2" s="332"/>
      <c r="U2" s="333"/>
      <c r="V2" s="333"/>
      <c r="W2" s="333"/>
      <c r="X2" s="333"/>
      <c r="Y2" s="333"/>
      <c r="Z2" s="333"/>
      <c r="AA2" s="333"/>
      <c r="AB2" s="329"/>
      <c r="AC2" s="329"/>
      <c r="AD2" s="329"/>
      <c r="AE2" s="329"/>
      <c r="AF2" s="329"/>
      <c r="AG2" s="329"/>
      <c r="AH2" s="329"/>
      <c r="AI2" s="329"/>
      <c r="AJ2" s="329"/>
      <c r="AK2" s="329"/>
      <c r="AL2" s="329"/>
      <c r="AM2" s="334"/>
      <c r="AN2" s="329"/>
      <c r="AO2" s="329"/>
      <c r="AP2" s="218"/>
      <c r="AQ2" s="329"/>
      <c r="AR2" s="329"/>
      <c r="AS2" s="329"/>
      <c r="AT2" s="329"/>
      <c r="AU2" s="329"/>
      <c r="AV2" s="329"/>
      <c r="AW2" s="329"/>
      <c r="AX2" s="157"/>
      <c r="AY2" s="334"/>
      <c r="AZ2" s="157"/>
      <c r="BA2" s="329"/>
      <c r="BB2" s="329"/>
      <c r="BC2" s="329"/>
      <c r="BD2" s="329"/>
      <c r="BE2" s="329"/>
      <c r="BF2" s="329"/>
      <c r="BG2" s="157"/>
      <c r="BH2" s="157"/>
      <c r="BI2" s="157"/>
      <c r="BJ2" s="157"/>
      <c r="BK2" s="334"/>
      <c r="BL2" s="157"/>
      <c r="BM2" s="331"/>
      <c r="BN2" s="329"/>
      <c r="BO2" s="157"/>
      <c r="BP2" s="329"/>
      <c r="BQ2" s="157"/>
      <c r="BR2" s="157"/>
      <c r="BS2" s="157"/>
      <c r="BT2" s="157"/>
      <c r="BU2" s="157"/>
      <c r="BX2" s="157"/>
      <c r="BY2" s="157"/>
      <c r="BZ2" s="157"/>
      <c r="CA2" s="157"/>
      <c r="CC2" s="157"/>
      <c r="CD2" s="157"/>
      <c r="CE2" s="157"/>
    </row>
    <row r="3" spans="1:83" ht="15.75" customHeight="1" x14ac:dyDescent="0.35">
      <c r="A3" s="229"/>
      <c r="B3" s="229"/>
      <c r="C3" s="329"/>
      <c r="D3" s="329"/>
      <c r="E3" s="329"/>
      <c r="F3" s="329"/>
      <c r="G3" s="329"/>
      <c r="H3" s="329"/>
      <c r="I3" s="330"/>
      <c r="J3" s="330"/>
      <c r="K3" s="330"/>
      <c r="L3" s="329"/>
      <c r="M3" s="329"/>
      <c r="N3" s="329"/>
      <c r="O3" s="329"/>
      <c r="P3" s="229"/>
      <c r="Q3" s="333"/>
      <c r="R3" s="333"/>
      <c r="S3" s="333"/>
      <c r="T3" s="333"/>
      <c r="U3" s="333"/>
      <c r="V3" s="333"/>
      <c r="W3" s="333"/>
      <c r="X3" s="333"/>
      <c r="Y3" s="333"/>
      <c r="Z3" s="333"/>
      <c r="AA3" s="333"/>
      <c r="AB3" s="329"/>
      <c r="AC3" s="329"/>
      <c r="AD3" s="329"/>
      <c r="AE3" s="329"/>
      <c r="AF3" s="329"/>
      <c r="AG3" s="329"/>
      <c r="AH3" s="329"/>
      <c r="AI3" s="329"/>
      <c r="AJ3" s="329"/>
      <c r="AK3" s="329"/>
      <c r="AL3" s="329"/>
      <c r="AM3" s="157"/>
      <c r="AN3" s="329"/>
      <c r="AO3" s="329"/>
      <c r="AP3" s="329"/>
      <c r="AQ3" s="329"/>
      <c r="AR3" s="329"/>
      <c r="AS3" s="329"/>
      <c r="AT3" s="329"/>
      <c r="AU3" s="329"/>
      <c r="AV3" s="329"/>
      <c r="AW3" s="329"/>
      <c r="AX3" s="329"/>
      <c r="AY3" s="157"/>
      <c r="AZ3" s="329"/>
      <c r="BA3" s="329"/>
      <c r="BB3" s="329"/>
      <c r="BC3" s="329"/>
      <c r="BD3" s="329"/>
      <c r="BE3" s="329"/>
      <c r="BF3" s="329"/>
      <c r="BG3" s="335"/>
      <c r="BH3" s="335"/>
      <c r="BI3" s="335"/>
      <c r="BJ3" s="335"/>
      <c r="BK3" s="157"/>
      <c r="BL3" s="335"/>
      <c r="BM3" s="1533"/>
      <c r="BN3" s="329"/>
      <c r="BO3" s="329"/>
      <c r="BP3" s="329"/>
      <c r="BQ3" s="335"/>
      <c r="BR3" s="157"/>
      <c r="BS3" s="335"/>
      <c r="BT3" s="335"/>
      <c r="BU3" s="335"/>
      <c r="BX3" s="335"/>
      <c r="BY3" s="335"/>
      <c r="BZ3" s="335"/>
      <c r="CA3" s="335"/>
      <c r="CC3" s="335"/>
      <c r="CD3" s="335"/>
      <c r="CE3" s="335"/>
    </row>
    <row r="4" spans="1:83" ht="14.25" customHeight="1" x14ac:dyDescent="0.25">
      <c r="A4" s="3005" t="s">
        <v>170</v>
      </c>
      <c r="B4" s="2411">
        <v>3</v>
      </c>
      <c r="C4" s="2411">
        <f>B4+0.01</f>
        <v>3.01</v>
      </c>
      <c r="D4" s="2374">
        <f>C4+0.01</f>
        <v>3.0199999999999996</v>
      </c>
      <c r="E4" s="336"/>
      <c r="F4" s="215">
        <f>D4+0.01</f>
        <v>3.0299999999999994</v>
      </c>
      <c r="G4" s="2769">
        <f>F4+0.01</f>
        <v>3.0399999999999991</v>
      </c>
      <c r="H4" s="3022"/>
      <c r="I4" s="2374">
        <f>G4+0.01</f>
        <v>3.0499999999999989</v>
      </c>
      <c r="J4" s="3051">
        <f>I4+0.01</f>
        <v>3.0599999999999987</v>
      </c>
      <c r="K4" s="3052"/>
      <c r="L4" s="3075">
        <f>J4+0.01</f>
        <v>3.0699999999999985</v>
      </c>
      <c r="M4" s="3052"/>
      <c r="N4" s="2411">
        <f>L4+0.01</f>
        <v>3.0799999999999983</v>
      </c>
      <c r="O4" s="215">
        <f>N4+0.01</f>
        <v>3.0899999999999981</v>
      </c>
      <c r="P4" s="3005" t="s">
        <v>170</v>
      </c>
      <c r="Q4" s="2769">
        <f>O4+0.01</f>
        <v>3.0999999999999979</v>
      </c>
      <c r="R4" s="2770"/>
      <c r="S4" s="337"/>
      <c r="T4" s="337"/>
      <c r="U4" s="337"/>
      <c r="V4" s="337"/>
      <c r="W4" s="337"/>
      <c r="X4" s="337"/>
      <c r="Y4" s="337"/>
      <c r="Z4" s="337"/>
      <c r="AA4" s="336"/>
      <c r="AB4" s="2769">
        <f>Q4+0.01</f>
        <v>3.1099999999999977</v>
      </c>
      <c r="AC4" s="3022"/>
      <c r="AD4" s="2411">
        <f>AB4+0.01</f>
        <v>3.1199999999999974</v>
      </c>
      <c r="AE4" s="2411">
        <f t="shared" ref="AE4:AI4" si="0">AD4+0.01</f>
        <v>3.1299999999999972</v>
      </c>
      <c r="AF4" s="2411">
        <f t="shared" si="0"/>
        <v>3.139999999999997</v>
      </c>
      <c r="AG4" s="2411">
        <f t="shared" si="0"/>
        <v>3.1499999999999968</v>
      </c>
      <c r="AH4" s="2411">
        <f t="shared" si="0"/>
        <v>3.1599999999999966</v>
      </c>
      <c r="AI4" s="2411">
        <f t="shared" si="0"/>
        <v>3.1699999999999964</v>
      </c>
      <c r="AJ4" s="1933" t="str">
        <f>CONCATENATE(AI4+0.01,"a")</f>
        <v>3.18a</v>
      </c>
      <c r="AK4" s="1933" t="str">
        <f>CONCATENATE(AI4+0.01,"b")</f>
        <v>3.18b</v>
      </c>
      <c r="AL4" s="1933" t="str">
        <f>CONCATENATE(AI4+0.01,"c")</f>
        <v>3.18c</v>
      </c>
      <c r="AM4" s="3005" t="s">
        <v>170</v>
      </c>
      <c r="AN4" s="2374">
        <f>AI4+0.02</f>
        <v>3.1899999999999964</v>
      </c>
      <c r="AO4" s="215">
        <f>AN4+0.01</f>
        <v>3.1999999999999962</v>
      </c>
      <c r="AP4" s="1969">
        <f>AO4+0.01</f>
        <v>3.209999999999996</v>
      </c>
      <c r="AQ4" s="2375">
        <f>AP4+0.01</f>
        <v>3.2199999999999958</v>
      </c>
      <c r="AR4" s="2769">
        <f>AQ4+0.01</f>
        <v>3.2299999999999955</v>
      </c>
      <c r="AS4" s="3022"/>
      <c r="AT4" s="2374">
        <f>AR4+0.01</f>
        <v>3.2399999999999953</v>
      </c>
      <c r="AU4" s="2429" t="str">
        <f>CONCATENATE(AT4, "a")</f>
        <v>3.24a</v>
      </c>
      <c r="AV4" s="1962" t="str">
        <f>CONCATENATE(AT4,"b")</f>
        <v>3.24b</v>
      </c>
      <c r="AW4" s="2375">
        <f>AT4+0.01</f>
        <v>3.2499999999999951</v>
      </c>
      <c r="AX4" s="215">
        <f t="shared" ref="AX4:BC4" si="1">AW4+0.01</f>
        <v>3.2599999999999949</v>
      </c>
      <c r="AY4" s="3005" t="s">
        <v>170</v>
      </c>
      <c r="AZ4" s="215">
        <f>AX4+0.01</f>
        <v>3.2699999999999947</v>
      </c>
      <c r="BA4" s="215">
        <f>AZ4+0.01</f>
        <v>3.2799999999999945</v>
      </c>
      <c r="BB4" s="215">
        <f t="shared" si="1"/>
        <v>3.2899999999999943</v>
      </c>
      <c r="BC4" s="2374">
        <f t="shared" si="1"/>
        <v>3.299999999999994</v>
      </c>
      <c r="BD4" s="1974">
        <f>BC4+0.01</f>
        <v>3.3099999999999938</v>
      </c>
      <c r="BE4" s="2410" t="str">
        <f>CONCATENATE("(",TEXT(BD4,"0.00"),"a)")</f>
        <v>(3.31a)</v>
      </c>
      <c r="BF4" s="2410" t="str">
        <f>CONCATENATE("(",TEXT(BD4,"0.00"),"b)")</f>
        <v>(3.31b)</v>
      </c>
      <c r="BG4" s="215">
        <f>BD4+0.01</f>
        <v>3.3199999999999936</v>
      </c>
      <c r="BH4" s="215">
        <f>BG4+0.01</f>
        <v>3.3299999999999934</v>
      </c>
      <c r="BI4" s="215">
        <f>BH4+0.01</f>
        <v>3.3399999999999932</v>
      </c>
      <c r="BJ4" s="215">
        <f>BI4+0.01</f>
        <v>3.349999999999993</v>
      </c>
      <c r="BK4" s="3005" t="s">
        <v>170</v>
      </c>
      <c r="BL4" s="1387">
        <f>BJ4+0.01</f>
        <v>3.3599999999999928</v>
      </c>
      <c r="BM4" s="1534">
        <f t="shared" ref="BM4:BV4" si="2">BL4+0.01</f>
        <v>3.3699999999999926</v>
      </c>
      <c r="BN4" s="2411">
        <f t="shared" si="2"/>
        <v>3.3799999999999923</v>
      </c>
      <c r="BO4" s="215">
        <f t="shared" si="2"/>
        <v>3.3899999999999921</v>
      </c>
      <c r="BP4" s="2374">
        <f t="shared" si="2"/>
        <v>3.3999999999999919</v>
      </c>
      <c r="BQ4" s="1974">
        <f t="shared" si="2"/>
        <v>3.4099999999999917</v>
      </c>
      <c r="BR4" s="2411">
        <f t="shared" si="2"/>
        <v>3.4199999999999915</v>
      </c>
      <c r="BS4" s="215">
        <f t="shared" si="2"/>
        <v>3.4299999999999913</v>
      </c>
      <c r="BT4" s="215">
        <f t="shared" si="2"/>
        <v>3.4399999999999911</v>
      </c>
      <c r="BU4" s="215">
        <f t="shared" si="2"/>
        <v>3.4499999999999909</v>
      </c>
      <c r="BV4" s="1971">
        <f t="shared" si="2"/>
        <v>3.4599999999999906</v>
      </c>
      <c r="BW4" s="1971"/>
      <c r="BX4" s="1969">
        <f t="shared" ref="BX4" si="3">BV4+0.01</f>
        <v>3.4699999999999904</v>
      </c>
      <c r="BY4" s="1969">
        <f t="shared" ref="BY4" si="4">BX4+0.01</f>
        <v>3.4799999999999902</v>
      </c>
      <c r="BZ4" s="1903">
        <f t="shared" ref="BZ4" si="5">BY4+0.01</f>
        <v>3.48999999999999</v>
      </c>
      <c r="CA4" s="2302">
        <f t="shared" ref="CA4" si="6">BZ4+0.01</f>
        <v>3.4999999999999898</v>
      </c>
      <c r="CB4" s="1903">
        <f t="shared" ref="CB4" si="7">CA4+0.01</f>
        <v>3.5099999999999896</v>
      </c>
      <c r="CC4" s="2276"/>
      <c r="CD4" s="1962">
        <f>CB4+0.01</f>
        <v>3.5199999999999894</v>
      </c>
      <c r="CE4" s="2410">
        <f t="shared" ref="CE4" si="8">CD4+0.01</f>
        <v>3.5299999999999891</v>
      </c>
    </row>
    <row r="5" spans="1:83" ht="14.25" customHeight="1" x14ac:dyDescent="0.25">
      <c r="A5" s="3006"/>
      <c r="B5" s="2947" t="s">
        <v>172</v>
      </c>
      <c r="C5" s="2827" t="s">
        <v>522</v>
      </c>
      <c r="D5" s="3070" t="s">
        <v>523</v>
      </c>
      <c r="E5" s="3038"/>
      <c r="F5" s="2898" t="s">
        <v>524</v>
      </c>
      <c r="G5" s="2825" t="s">
        <v>525</v>
      </c>
      <c r="H5" s="2827"/>
      <c r="I5" s="2784" t="s">
        <v>526</v>
      </c>
      <c r="J5" s="3055" t="s">
        <v>527</v>
      </c>
      <c r="K5" s="3056"/>
      <c r="L5" s="3061" t="s">
        <v>528</v>
      </c>
      <c r="M5" s="3056"/>
      <c r="N5" s="2827" t="s">
        <v>529</v>
      </c>
      <c r="O5" s="2898" t="s">
        <v>530</v>
      </c>
      <c r="P5" s="3006"/>
      <c r="Q5" s="3040" t="s">
        <v>531</v>
      </c>
      <c r="R5" s="3041"/>
      <c r="S5" s="3041"/>
      <c r="T5" s="3041"/>
      <c r="U5" s="3041"/>
      <c r="V5" s="3041"/>
      <c r="W5" s="3041"/>
      <c r="X5" s="3041"/>
      <c r="Y5" s="3041"/>
      <c r="Z5" s="3041"/>
      <c r="AA5" s="3042"/>
      <c r="AB5" s="2784" t="s">
        <v>532</v>
      </c>
      <c r="AC5" s="2787"/>
      <c r="AD5" s="2783" t="s">
        <v>533</v>
      </c>
      <c r="AE5" s="2783" t="s">
        <v>534</v>
      </c>
      <c r="AF5" s="2783" t="s">
        <v>535</v>
      </c>
      <c r="AG5" s="2783" t="s">
        <v>536</v>
      </c>
      <c r="AH5" s="2783" t="s">
        <v>537</v>
      </c>
      <c r="AI5" s="2783" t="s">
        <v>538</v>
      </c>
      <c r="AJ5" s="2805" t="s">
        <v>539</v>
      </c>
      <c r="AK5" s="2805" t="s">
        <v>540</v>
      </c>
      <c r="AL5" s="2805" t="s">
        <v>541</v>
      </c>
      <c r="AM5" s="3006"/>
      <c r="AN5" s="3021" t="s">
        <v>542</v>
      </c>
      <c r="AO5" s="2783" t="s">
        <v>543</v>
      </c>
      <c r="AP5" s="2928" t="s">
        <v>544</v>
      </c>
      <c r="AQ5" s="2827" t="s">
        <v>545</v>
      </c>
      <c r="AR5" s="3088" t="s">
        <v>546</v>
      </c>
      <c r="AS5" s="3089"/>
      <c r="AT5" s="2784" t="s">
        <v>547</v>
      </c>
      <c r="AU5" s="2856" t="s">
        <v>2649</v>
      </c>
      <c r="AV5" s="3004" t="s">
        <v>548</v>
      </c>
      <c r="AW5" s="2785" t="s">
        <v>549</v>
      </c>
      <c r="AX5" s="2783" t="s">
        <v>550</v>
      </c>
      <c r="AY5" s="3006"/>
      <c r="AZ5" s="2783" t="s">
        <v>551</v>
      </c>
      <c r="BA5" s="2898" t="s">
        <v>552</v>
      </c>
      <c r="BB5" s="2898" t="s">
        <v>553</v>
      </c>
      <c r="BC5" s="2825" t="s">
        <v>554</v>
      </c>
      <c r="BD5" s="3033" t="s">
        <v>555</v>
      </c>
      <c r="BE5" s="2994" t="s">
        <v>556</v>
      </c>
      <c r="BF5" s="2960" t="s">
        <v>557</v>
      </c>
      <c r="BG5" s="2898" t="s">
        <v>558</v>
      </c>
      <c r="BH5" s="2898" t="s">
        <v>559</v>
      </c>
      <c r="BI5" s="2898" t="s">
        <v>560</v>
      </c>
      <c r="BJ5" s="2898" t="s">
        <v>561</v>
      </c>
      <c r="BK5" s="3006"/>
      <c r="BL5" s="3010" t="s">
        <v>562</v>
      </c>
      <c r="BM5" s="2927" t="s">
        <v>563</v>
      </c>
      <c r="BN5" s="2826" t="s">
        <v>564</v>
      </c>
      <c r="BO5" s="2783" t="s">
        <v>565</v>
      </c>
      <c r="BP5" s="2825" t="s">
        <v>566</v>
      </c>
      <c r="BQ5" s="3033" t="s">
        <v>567</v>
      </c>
      <c r="BR5" s="2827" t="s">
        <v>568</v>
      </c>
      <c r="BS5" s="2898" t="s">
        <v>569</v>
      </c>
      <c r="BT5" s="2898" t="s">
        <v>570</v>
      </c>
      <c r="BU5" s="2898" t="s">
        <v>571</v>
      </c>
      <c r="BV5" s="3012" t="s">
        <v>572</v>
      </c>
      <c r="BW5" s="2402"/>
      <c r="BX5" s="2928" t="s">
        <v>573</v>
      </c>
      <c r="BY5" s="2928" t="s">
        <v>574</v>
      </c>
      <c r="BZ5" s="2958" t="s">
        <v>575</v>
      </c>
      <c r="CA5" s="3003" t="s">
        <v>576</v>
      </c>
      <c r="CB5" s="2958" t="s">
        <v>577</v>
      </c>
      <c r="CC5" s="2386"/>
      <c r="CD5" s="2993" t="s">
        <v>578</v>
      </c>
      <c r="CE5" s="2994" t="s">
        <v>579</v>
      </c>
    </row>
    <row r="6" spans="1:83" ht="13.5" customHeight="1" x14ac:dyDescent="0.25">
      <c r="A6" s="3006"/>
      <c r="B6" s="2947"/>
      <c r="C6" s="2827"/>
      <c r="D6" s="3070"/>
      <c r="E6" s="3038"/>
      <c r="F6" s="2898"/>
      <c r="G6" s="2825"/>
      <c r="H6" s="2827"/>
      <c r="I6" s="2784"/>
      <c r="J6" s="3055"/>
      <c r="K6" s="3056"/>
      <c r="L6" s="3061"/>
      <c r="M6" s="3056"/>
      <c r="N6" s="2827"/>
      <c r="O6" s="2898"/>
      <c r="P6" s="3006"/>
      <c r="Q6" s="3040"/>
      <c r="R6" s="3041"/>
      <c r="S6" s="3041"/>
      <c r="T6" s="3041"/>
      <c r="U6" s="3041"/>
      <c r="V6" s="3041"/>
      <c r="W6" s="3041"/>
      <c r="X6" s="3041"/>
      <c r="Y6" s="3041"/>
      <c r="Z6" s="3041"/>
      <c r="AA6" s="3042"/>
      <c r="AB6" s="2784"/>
      <c r="AC6" s="2787"/>
      <c r="AD6" s="2783"/>
      <c r="AE6" s="2783"/>
      <c r="AF6" s="2783"/>
      <c r="AG6" s="2783"/>
      <c r="AH6" s="2783"/>
      <c r="AI6" s="2783"/>
      <c r="AJ6" s="2805"/>
      <c r="AK6" s="2805"/>
      <c r="AL6" s="2805"/>
      <c r="AM6" s="3006"/>
      <c r="AN6" s="3021"/>
      <c r="AO6" s="2783"/>
      <c r="AP6" s="2928"/>
      <c r="AQ6" s="2827"/>
      <c r="AR6" s="3088"/>
      <c r="AS6" s="3089"/>
      <c r="AT6" s="2784"/>
      <c r="AU6" s="2856"/>
      <c r="AV6" s="3004"/>
      <c r="AW6" s="2785"/>
      <c r="AX6" s="2783"/>
      <c r="AY6" s="3006"/>
      <c r="AZ6" s="2783"/>
      <c r="BA6" s="2898"/>
      <c r="BB6" s="2898"/>
      <c r="BC6" s="2825"/>
      <c r="BD6" s="3033"/>
      <c r="BE6" s="2994"/>
      <c r="BF6" s="2960"/>
      <c r="BG6" s="2898"/>
      <c r="BH6" s="2898"/>
      <c r="BI6" s="2898"/>
      <c r="BJ6" s="2898"/>
      <c r="BK6" s="3006"/>
      <c r="BL6" s="3010"/>
      <c r="BM6" s="2927"/>
      <c r="BN6" s="2826"/>
      <c r="BO6" s="2783"/>
      <c r="BP6" s="2825"/>
      <c r="BQ6" s="3033"/>
      <c r="BR6" s="2827"/>
      <c r="BS6" s="2898"/>
      <c r="BT6" s="2898"/>
      <c r="BU6" s="2898"/>
      <c r="BV6" s="3012"/>
      <c r="BW6" s="2402"/>
      <c r="BX6" s="2928"/>
      <c r="BY6" s="2928"/>
      <c r="BZ6" s="2958"/>
      <c r="CA6" s="3003"/>
      <c r="CB6" s="2958"/>
      <c r="CC6" s="2386"/>
      <c r="CD6" s="2993"/>
      <c r="CE6" s="2994"/>
    </row>
    <row r="7" spans="1:83" ht="12.75" customHeight="1" x14ac:dyDescent="0.3">
      <c r="A7" s="3006"/>
      <c r="B7" s="2947"/>
      <c r="C7" s="2827"/>
      <c r="D7" s="3070"/>
      <c r="E7" s="3038"/>
      <c r="F7" s="2898"/>
      <c r="G7" s="2825"/>
      <c r="H7" s="2827"/>
      <c r="I7" s="2784"/>
      <c r="J7" s="3055"/>
      <c r="K7" s="3056"/>
      <c r="L7" s="3061"/>
      <c r="M7" s="3056"/>
      <c r="N7" s="2827"/>
      <c r="O7" s="2898"/>
      <c r="P7" s="3006"/>
      <c r="Q7" s="3040"/>
      <c r="R7" s="3041"/>
      <c r="S7" s="3041"/>
      <c r="T7" s="3041"/>
      <c r="U7" s="3041"/>
      <c r="V7" s="3041"/>
      <c r="W7" s="3041"/>
      <c r="X7" s="3041"/>
      <c r="Y7" s="3041"/>
      <c r="Z7" s="3041"/>
      <c r="AA7" s="3042"/>
      <c r="AB7" s="2784"/>
      <c r="AC7" s="2787"/>
      <c r="AD7" s="2783"/>
      <c r="AE7" s="2783"/>
      <c r="AF7" s="2783"/>
      <c r="AG7" s="2783"/>
      <c r="AH7" s="2783"/>
      <c r="AI7" s="2783"/>
      <c r="AJ7" s="2805"/>
      <c r="AK7" s="2805"/>
      <c r="AL7" s="2805"/>
      <c r="AM7" s="3006"/>
      <c r="AN7" s="3021"/>
      <c r="AO7" s="2783"/>
      <c r="AP7" s="2928"/>
      <c r="AQ7" s="2827"/>
      <c r="AR7" s="3088"/>
      <c r="AS7" s="3089"/>
      <c r="AT7" s="2784"/>
      <c r="AU7" s="2856"/>
      <c r="AV7" s="3004"/>
      <c r="AW7" s="2785"/>
      <c r="AX7" s="2783"/>
      <c r="AY7" s="3006"/>
      <c r="AZ7" s="2783"/>
      <c r="BA7" s="2898"/>
      <c r="BB7" s="2898"/>
      <c r="BC7" s="2825"/>
      <c r="BD7" s="3033"/>
      <c r="BE7" s="2994"/>
      <c r="BF7" s="2960"/>
      <c r="BG7" s="2898"/>
      <c r="BH7" s="2898"/>
      <c r="BI7" s="2898"/>
      <c r="BJ7" s="2898"/>
      <c r="BK7" s="3006"/>
      <c r="BL7" s="3010"/>
      <c r="BM7" s="1535"/>
      <c r="BN7" s="2826"/>
      <c r="BO7" s="2783"/>
      <c r="BP7" s="2825"/>
      <c r="BQ7" s="3033"/>
      <c r="BR7" s="2827"/>
      <c r="BS7" s="2898"/>
      <c r="BT7" s="2898"/>
      <c r="BU7" s="2898"/>
      <c r="BV7" s="3012"/>
      <c r="BW7" s="2402"/>
      <c r="BX7" s="2928"/>
      <c r="BY7" s="2928"/>
      <c r="BZ7" s="2958"/>
      <c r="CA7" s="3003"/>
      <c r="CB7" s="2958"/>
      <c r="CC7" s="2386"/>
      <c r="CD7" s="2993"/>
      <c r="CE7" s="2994"/>
    </row>
    <row r="8" spans="1:83" ht="13.5" customHeight="1" x14ac:dyDescent="0.25">
      <c r="A8" s="3006"/>
      <c r="B8" s="2947"/>
      <c r="C8" s="2827"/>
      <c r="D8" s="3070"/>
      <c r="E8" s="3038"/>
      <c r="F8" s="2898"/>
      <c r="G8" s="2825"/>
      <c r="H8" s="2827"/>
      <c r="I8" s="2784"/>
      <c r="J8" s="1935"/>
      <c r="K8" s="1936"/>
      <c r="L8" s="3061"/>
      <c r="M8" s="3056"/>
      <c r="N8" s="2827"/>
      <c r="O8" s="2898"/>
      <c r="P8" s="3006"/>
      <c r="Q8" s="3076" t="s">
        <v>580</v>
      </c>
      <c r="R8" s="3077"/>
      <c r="S8" s="3077"/>
      <c r="T8" s="3077"/>
      <c r="U8" s="3077"/>
      <c r="V8" s="3077"/>
      <c r="W8" s="3077"/>
      <c r="X8" s="3077"/>
      <c r="Y8" s="3077"/>
      <c r="Z8" s="3077"/>
      <c r="AA8" s="3078"/>
      <c r="AB8" s="2784"/>
      <c r="AC8" s="2787"/>
      <c r="AD8" s="2783"/>
      <c r="AE8" s="2783"/>
      <c r="AF8" s="2783"/>
      <c r="AG8" s="2783"/>
      <c r="AH8" s="2783"/>
      <c r="AI8" s="2783"/>
      <c r="AJ8" s="2805"/>
      <c r="AK8" s="2805"/>
      <c r="AL8" s="2805"/>
      <c r="AM8" s="3006"/>
      <c r="AN8" s="3021"/>
      <c r="AO8" s="2783"/>
      <c r="AP8" s="2928"/>
      <c r="AQ8" s="2827"/>
      <c r="AR8" s="3088"/>
      <c r="AS8" s="3089"/>
      <c r="AT8" s="2784"/>
      <c r="AU8" s="2856"/>
      <c r="AV8" s="3004"/>
      <c r="AW8" s="2785"/>
      <c r="AX8" s="2783"/>
      <c r="AY8" s="3006"/>
      <c r="AZ8" s="2783"/>
      <c r="BA8" s="2898"/>
      <c r="BB8" s="2898"/>
      <c r="BC8" s="2825"/>
      <c r="BD8" s="3033"/>
      <c r="BE8" s="2994"/>
      <c r="BF8" s="2960"/>
      <c r="BG8" s="2898"/>
      <c r="BH8" s="2898"/>
      <c r="BI8" s="2898"/>
      <c r="BJ8" s="2898"/>
      <c r="BK8" s="3006"/>
      <c r="BL8" s="3010"/>
      <c r="BM8" s="3011" t="s">
        <v>581</v>
      </c>
      <c r="BN8" s="2826"/>
      <c r="BO8" s="2783"/>
      <c r="BP8" s="2825"/>
      <c r="BQ8" s="3033"/>
      <c r="BR8" s="2827"/>
      <c r="BS8" s="2898"/>
      <c r="BT8" s="2898"/>
      <c r="BU8" s="2898"/>
      <c r="BV8" s="3012"/>
      <c r="BW8" s="2402"/>
      <c r="BX8" s="2928"/>
      <c r="BY8" s="2928"/>
      <c r="BZ8" s="2958"/>
      <c r="CA8" s="3003"/>
      <c r="CB8" s="2958"/>
      <c r="CC8" s="2386"/>
      <c r="CD8" s="2993"/>
      <c r="CE8" s="2994"/>
    </row>
    <row r="9" spans="1:83" ht="17.5" customHeight="1" x14ac:dyDescent="0.25">
      <c r="A9" s="3006"/>
      <c r="B9" s="2947"/>
      <c r="C9" s="2827"/>
      <c r="D9" s="3071" t="s">
        <v>582</v>
      </c>
      <c r="E9" s="3072"/>
      <c r="F9" s="2898"/>
      <c r="G9" s="2825"/>
      <c r="H9" s="2827"/>
      <c r="I9" s="2784"/>
      <c r="J9" s="1937"/>
      <c r="K9" s="1938"/>
      <c r="L9" s="1934"/>
      <c r="M9" s="1950" t="s">
        <v>583</v>
      </c>
      <c r="N9" s="2827"/>
      <c r="O9" s="2898"/>
      <c r="P9" s="3006"/>
      <c r="Q9" s="3076"/>
      <c r="R9" s="3077"/>
      <c r="S9" s="3077"/>
      <c r="T9" s="3077"/>
      <c r="U9" s="3077"/>
      <c r="V9" s="3077"/>
      <c r="W9" s="3077"/>
      <c r="X9" s="3077"/>
      <c r="Y9" s="3077"/>
      <c r="Z9" s="3077"/>
      <c r="AA9" s="3078"/>
      <c r="AB9" s="2784"/>
      <c r="AC9" s="2787"/>
      <c r="AD9" s="2783"/>
      <c r="AE9" s="2783"/>
      <c r="AF9" s="2783"/>
      <c r="AG9" s="2783"/>
      <c r="AH9" s="2783"/>
      <c r="AI9" s="2783"/>
      <c r="AJ9" s="2805"/>
      <c r="AK9" s="2805"/>
      <c r="AL9" s="2805"/>
      <c r="AM9" s="3006"/>
      <c r="AN9" s="3021"/>
      <c r="AO9" s="2783"/>
      <c r="AP9" s="3023" t="s">
        <v>582</v>
      </c>
      <c r="AQ9" s="2827"/>
      <c r="AR9" s="1664"/>
      <c r="AS9" s="1665" t="s">
        <v>583</v>
      </c>
      <c r="AT9" s="2784"/>
      <c r="AU9" s="2856"/>
      <c r="AV9" s="3004"/>
      <c r="AW9" s="2785"/>
      <c r="AX9" s="2783"/>
      <c r="AY9" s="3006"/>
      <c r="AZ9" s="2783"/>
      <c r="BA9" s="2898"/>
      <c r="BB9" s="2898"/>
      <c r="BC9" s="2825"/>
      <c r="BD9" s="3033"/>
      <c r="BE9" s="2994"/>
      <c r="BF9" s="2960"/>
      <c r="BG9" s="2898"/>
      <c r="BH9" s="2898"/>
      <c r="BI9" s="2898"/>
      <c r="BJ9" s="2898"/>
      <c r="BK9" s="3006"/>
      <c r="BL9" s="3010"/>
      <c r="BM9" s="3011"/>
      <c r="BN9" s="2826"/>
      <c r="BO9" s="2783"/>
      <c r="BP9" s="2825"/>
      <c r="BQ9" s="3033"/>
      <c r="BR9" s="2827"/>
      <c r="BS9" s="2898"/>
      <c r="BT9" s="2898"/>
      <c r="BU9" s="2898"/>
      <c r="BV9" s="3012"/>
      <c r="BW9" s="2402"/>
      <c r="BX9" s="2928"/>
      <c r="BY9" s="2928"/>
      <c r="BZ9" s="2958"/>
      <c r="CA9" s="3003"/>
      <c r="CB9" s="2958"/>
      <c r="CC9" s="2386"/>
      <c r="CD9" s="2993"/>
      <c r="CE9" s="2994"/>
    </row>
    <row r="10" spans="1:83" ht="13.5" customHeight="1" x14ac:dyDescent="0.25">
      <c r="A10" s="3006"/>
      <c r="B10" s="2947"/>
      <c r="C10" s="2827"/>
      <c r="D10" s="3071"/>
      <c r="E10" s="3072"/>
      <c r="F10" s="2898"/>
      <c r="G10" s="2825"/>
      <c r="H10" s="2827"/>
      <c r="I10" s="2784"/>
      <c r="J10" s="1939">
        <v>1</v>
      </c>
      <c r="K10" s="1940" t="s">
        <v>584</v>
      </c>
      <c r="L10" s="1955">
        <v>1</v>
      </c>
      <c r="M10" s="1943" t="s">
        <v>585</v>
      </c>
      <c r="N10" s="249"/>
      <c r="O10" s="2898"/>
      <c r="P10" s="3006"/>
      <c r="Q10" s="753"/>
      <c r="R10" s="754"/>
      <c r="S10" s="754"/>
      <c r="T10" s="754"/>
      <c r="U10" s="754"/>
      <c r="V10" s="754"/>
      <c r="W10" s="754"/>
      <c r="X10" s="754"/>
      <c r="Y10" s="754"/>
      <c r="Z10" s="754"/>
      <c r="AA10" s="755"/>
      <c r="AB10" s="2784"/>
      <c r="AC10" s="2787"/>
      <c r="AD10" s="2783"/>
      <c r="AE10" s="2783"/>
      <c r="AF10" s="2783"/>
      <c r="AG10" s="2783"/>
      <c r="AH10" s="2783"/>
      <c r="AI10" s="2783"/>
      <c r="AJ10" s="2805"/>
      <c r="AK10" s="2805"/>
      <c r="AL10" s="2805"/>
      <c r="AM10" s="3006"/>
      <c r="AN10" s="3021"/>
      <c r="AO10" s="2783"/>
      <c r="AP10" s="3023"/>
      <c r="AQ10" s="2827"/>
      <c r="AR10" s="1666">
        <v>1</v>
      </c>
      <c r="AS10" s="1667" t="s">
        <v>585</v>
      </c>
      <c r="AT10" s="2784"/>
      <c r="AU10" s="2442" t="s">
        <v>227</v>
      </c>
      <c r="AV10" s="2460"/>
      <c r="AW10" s="2785"/>
      <c r="AX10" s="2783"/>
      <c r="AY10" s="3006"/>
      <c r="AZ10" s="2783"/>
      <c r="BA10" s="2898"/>
      <c r="BB10" s="2384"/>
      <c r="BC10" s="2352"/>
      <c r="BD10" s="2405"/>
      <c r="BE10" s="2994"/>
      <c r="BF10" s="2386"/>
      <c r="BG10" s="2898"/>
      <c r="BH10" s="2898"/>
      <c r="BI10" s="2382"/>
      <c r="BJ10" s="2382"/>
      <c r="BK10" s="3006"/>
      <c r="BL10" s="3010"/>
      <c r="BM10" s="3011"/>
      <c r="BN10" s="2826"/>
      <c r="BO10" s="2783"/>
      <c r="BP10" s="2825"/>
      <c r="BQ10" s="3033"/>
      <c r="BR10" s="2827"/>
      <c r="BS10" s="2898"/>
      <c r="BT10" s="2898"/>
      <c r="BU10" s="2898"/>
      <c r="BV10" s="3012"/>
      <c r="BW10" s="2402"/>
      <c r="BX10" s="2928"/>
      <c r="BY10" s="2928"/>
      <c r="BZ10" s="2958"/>
      <c r="CA10" s="3003"/>
      <c r="CB10" s="2958"/>
      <c r="CC10" s="2386"/>
      <c r="CD10" s="2993"/>
      <c r="CE10" s="2994"/>
    </row>
    <row r="11" spans="1:83" ht="13.5" customHeight="1" x14ac:dyDescent="0.25">
      <c r="A11" s="3006"/>
      <c r="B11" s="2947"/>
      <c r="C11" s="2827"/>
      <c r="D11" s="3071"/>
      <c r="E11" s="3072"/>
      <c r="F11" s="2898"/>
      <c r="G11" s="2825"/>
      <c r="H11" s="2827"/>
      <c r="I11" s="2784"/>
      <c r="J11" s="1939">
        <v>2</v>
      </c>
      <c r="K11" s="1940" t="s">
        <v>586</v>
      </c>
      <c r="L11" s="1956">
        <v>2</v>
      </c>
      <c r="M11" s="3064" t="s">
        <v>587</v>
      </c>
      <c r="N11" s="341" t="s">
        <v>588</v>
      </c>
      <c r="O11" s="2898"/>
      <c r="P11" s="3006"/>
      <c r="Q11" s="756" t="s">
        <v>74</v>
      </c>
      <c r="R11" s="757" t="s">
        <v>109</v>
      </c>
      <c r="S11" s="757" t="s">
        <v>131</v>
      </c>
      <c r="T11" s="757" t="s">
        <v>238</v>
      </c>
      <c r="U11" s="757" t="s">
        <v>239</v>
      </c>
      <c r="V11" s="757" t="s">
        <v>426</v>
      </c>
      <c r="W11" s="757" t="s">
        <v>427</v>
      </c>
      <c r="X11" s="757" t="s">
        <v>425</v>
      </c>
      <c r="Y11" s="757" t="s">
        <v>432</v>
      </c>
      <c r="Z11" s="757" t="s">
        <v>433</v>
      </c>
      <c r="AA11" s="757" t="s">
        <v>434</v>
      </c>
      <c r="AB11" s="2784"/>
      <c r="AC11" s="2787"/>
      <c r="AD11" s="2783"/>
      <c r="AE11" s="2783"/>
      <c r="AF11" s="2783"/>
      <c r="AG11" s="2783"/>
      <c r="AH11" s="2783"/>
      <c r="AI11" s="2783"/>
      <c r="AJ11" s="2805"/>
      <c r="AK11" s="2805"/>
      <c r="AL11" s="2805"/>
      <c r="AM11" s="3006"/>
      <c r="AN11" s="3021"/>
      <c r="AO11" s="2783"/>
      <c r="AP11" s="3023"/>
      <c r="AQ11" s="2827"/>
      <c r="AR11" s="1668">
        <v>2</v>
      </c>
      <c r="AS11" s="3086" t="s">
        <v>587</v>
      </c>
      <c r="AT11" s="2784"/>
      <c r="AU11" s="2442" t="str">
        <f>CONCATENATE("2 Non ►(",TEXT(AW4,"0.00"),")")</f>
        <v>2 Non ►(3.25)</v>
      </c>
      <c r="AV11" s="2460"/>
      <c r="AW11" s="2785"/>
      <c r="AX11" s="2783"/>
      <c r="AY11" s="3006"/>
      <c r="AZ11" s="2783"/>
      <c r="BA11" s="2898"/>
      <c r="BB11" s="250"/>
      <c r="BC11" s="342"/>
      <c r="BD11" s="2155"/>
      <c r="BE11" s="2994"/>
      <c r="BF11" s="2159"/>
      <c r="BG11" s="2382"/>
      <c r="BH11" s="2382"/>
      <c r="BI11" s="2382"/>
      <c r="BJ11" s="2382"/>
      <c r="BK11" s="3006"/>
      <c r="BL11" s="3010"/>
      <c r="BM11" s="3011"/>
      <c r="BN11" s="342"/>
      <c r="BO11" s="2783"/>
      <c r="BP11" s="2825"/>
      <c r="BQ11" s="3033"/>
      <c r="BR11" s="2827"/>
      <c r="BS11" s="2898"/>
      <c r="BT11" s="2898"/>
      <c r="BU11" s="2898"/>
      <c r="BV11" s="3012"/>
      <c r="BW11" s="2402"/>
      <c r="BX11" s="2928"/>
      <c r="BY11" s="2928"/>
      <c r="BZ11" s="2958"/>
      <c r="CA11" s="3003"/>
      <c r="CB11" s="2958"/>
      <c r="CC11" s="2386"/>
      <c r="CD11" s="2993"/>
      <c r="CE11" s="2994"/>
    </row>
    <row r="12" spans="1:83" ht="13.5" customHeight="1" x14ac:dyDescent="0.25">
      <c r="A12" s="3006"/>
      <c r="B12" s="2947"/>
      <c r="C12" s="2827"/>
      <c r="D12" s="3071"/>
      <c r="E12" s="3072"/>
      <c r="F12" s="2898"/>
      <c r="G12" s="2825"/>
      <c r="H12" s="2827"/>
      <c r="I12" s="2784"/>
      <c r="J12" s="1939">
        <v>3</v>
      </c>
      <c r="K12" s="1940" t="s">
        <v>589</v>
      </c>
      <c r="L12" s="1956"/>
      <c r="M12" s="3064"/>
      <c r="N12" s="341" t="s">
        <v>590</v>
      </c>
      <c r="O12" s="2898"/>
      <c r="P12" s="3006"/>
      <c r="Q12" s="3043" t="s">
        <v>591</v>
      </c>
      <c r="R12" s="3043" t="s">
        <v>592</v>
      </c>
      <c r="S12" s="3043" t="s">
        <v>593</v>
      </c>
      <c r="T12" s="3043" t="s">
        <v>594</v>
      </c>
      <c r="U12" s="3043" t="s">
        <v>595</v>
      </c>
      <c r="V12" s="3043" t="s">
        <v>596</v>
      </c>
      <c r="W12" s="3043" t="s">
        <v>597</v>
      </c>
      <c r="X12" s="3043" t="s">
        <v>598</v>
      </c>
      <c r="Y12" s="3046" t="s">
        <v>599</v>
      </c>
      <c r="Z12" s="2914" t="s">
        <v>600</v>
      </c>
      <c r="AA12" s="3043" t="s">
        <v>601</v>
      </c>
      <c r="AB12" s="2458" t="s">
        <v>602</v>
      </c>
      <c r="AC12" s="249"/>
      <c r="AD12" s="2783"/>
      <c r="AE12" s="2783"/>
      <c r="AF12" s="2783"/>
      <c r="AG12" s="2783"/>
      <c r="AH12" s="2783"/>
      <c r="AI12" s="2783"/>
      <c r="AJ12" s="2805"/>
      <c r="AK12" s="2805"/>
      <c r="AL12" s="2805"/>
      <c r="AM12" s="3006"/>
      <c r="AN12" s="3021"/>
      <c r="AO12" s="2783"/>
      <c r="AP12" s="3023"/>
      <c r="AQ12" s="2827"/>
      <c r="AR12" s="1668"/>
      <c r="AS12" s="3086"/>
      <c r="AT12" s="2784"/>
      <c r="AU12" s="2442"/>
      <c r="AV12" s="2460"/>
      <c r="AW12" s="2785"/>
      <c r="AX12" s="2783"/>
      <c r="AY12" s="3006"/>
      <c r="AZ12" s="2783"/>
      <c r="BA12" s="2898"/>
      <c r="BB12" s="250"/>
      <c r="BC12" s="342"/>
      <c r="BD12" s="2155"/>
      <c r="BE12" s="2994"/>
      <c r="BF12" s="2159"/>
      <c r="BG12" s="2951"/>
      <c r="BH12" s="2384"/>
      <c r="BI12" s="2382" t="s">
        <v>603</v>
      </c>
      <c r="BJ12" s="2898" t="s">
        <v>604</v>
      </c>
      <c r="BK12" s="3006"/>
      <c r="BL12" s="3010"/>
      <c r="BM12" s="3011"/>
      <c r="BN12" s="342"/>
      <c r="BO12" s="2783"/>
      <c r="BP12" s="2419" t="s">
        <v>605</v>
      </c>
      <c r="BQ12" s="3033"/>
      <c r="BR12" s="2827"/>
      <c r="BS12" s="2898"/>
      <c r="BT12" s="2898"/>
      <c r="BU12" s="2898"/>
      <c r="BV12" s="3012"/>
      <c r="BW12" s="2402"/>
      <c r="BX12" s="2928"/>
      <c r="BY12" s="2928"/>
      <c r="BZ12" s="2958"/>
      <c r="CA12" s="3003"/>
      <c r="CB12" s="2958"/>
      <c r="CC12" s="2386"/>
      <c r="CD12" s="2993"/>
      <c r="CE12" s="2994"/>
    </row>
    <row r="13" spans="1:83" ht="13.5" customHeight="1" x14ac:dyDescent="0.25">
      <c r="A13" s="3006"/>
      <c r="B13" s="2947"/>
      <c r="C13" s="2827"/>
      <c r="D13" s="3071"/>
      <c r="E13" s="3072"/>
      <c r="F13" s="2898"/>
      <c r="G13" s="2825"/>
      <c r="H13" s="2827"/>
      <c r="I13" s="2784"/>
      <c r="J13" s="1939">
        <v>4</v>
      </c>
      <c r="K13" s="1940" t="s">
        <v>606</v>
      </c>
      <c r="L13" s="1955">
        <v>3</v>
      </c>
      <c r="M13" s="1951" t="s">
        <v>607</v>
      </c>
      <c r="N13" s="341" t="s">
        <v>608</v>
      </c>
      <c r="O13" s="247" t="s">
        <v>415</v>
      </c>
      <c r="P13" s="3006"/>
      <c r="Q13" s="3044"/>
      <c r="R13" s="3044"/>
      <c r="S13" s="3044"/>
      <c r="T13" s="3044"/>
      <c r="U13" s="3044"/>
      <c r="V13" s="3044"/>
      <c r="W13" s="3044"/>
      <c r="X13" s="3044"/>
      <c r="Y13" s="3047"/>
      <c r="Z13" s="3049"/>
      <c r="AA13" s="3044"/>
      <c r="AB13" s="2888" t="s">
        <v>609</v>
      </c>
      <c r="AC13" s="2890"/>
      <c r="AD13" s="2783"/>
      <c r="AE13" s="2783"/>
      <c r="AF13" s="2783"/>
      <c r="AG13" s="2783"/>
      <c r="AH13" s="2783"/>
      <c r="AI13" s="2783"/>
      <c r="AJ13" s="2805"/>
      <c r="AK13" s="2805"/>
      <c r="AL13" s="2805"/>
      <c r="AM13" s="3006"/>
      <c r="AN13" s="3021"/>
      <c r="AO13" s="2783"/>
      <c r="AP13" s="3023"/>
      <c r="AQ13" s="2827"/>
      <c r="AR13" s="1666">
        <v>3</v>
      </c>
      <c r="AS13" s="1669" t="s">
        <v>607</v>
      </c>
      <c r="AT13" s="1396"/>
      <c r="AU13" s="1966"/>
      <c r="AV13" s="1963"/>
      <c r="AW13" s="2785"/>
      <c r="AX13" s="344"/>
      <c r="AY13" s="3006"/>
      <c r="AZ13" s="2783"/>
      <c r="BA13" s="2898"/>
      <c r="BB13" s="250"/>
      <c r="BC13" s="342"/>
      <c r="BD13" s="2155"/>
      <c r="BE13" s="2994"/>
      <c r="BF13" s="2159"/>
      <c r="BG13" s="2951"/>
      <c r="BH13" s="2384"/>
      <c r="BI13" s="2384" t="s">
        <v>610</v>
      </c>
      <c r="BJ13" s="2898"/>
      <c r="BK13" s="3006"/>
      <c r="BL13" s="3010"/>
      <c r="BM13" s="2385"/>
      <c r="BN13" s="342"/>
      <c r="BO13" s="2783"/>
      <c r="BP13" s="161" t="s">
        <v>611</v>
      </c>
      <c r="BQ13" s="3033"/>
      <c r="BR13" s="2827"/>
      <c r="BS13" s="2898"/>
      <c r="BT13" s="2898"/>
      <c r="BU13" s="2898"/>
      <c r="BV13" s="3012"/>
      <c r="BW13" s="2402"/>
      <c r="BX13" s="2928"/>
      <c r="BY13" s="2928"/>
      <c r="BZ13" s="2958"/>
      <c r="CA13" s="3003"/>
      <c r="CB13" s="2958"/>
      <c r="CC13" s="2386"/>
      <c r="CD13" s="2993"/>
      <c r="CE13" s="2994"/>
    </row>
    <row r="14" spans="1:83" ht="13.5" customHeight="1" x14ac:dyDescent="0.3">
      <c r="A14" s="3006"/>
      <c r="B14" s="2947"/>
      <c r="C14" s="2827"/>
      <c r="D14" s="3071"/>
      <c r="E14" s="3072"/>
      <c r="F14" s="2898"/>
      <c r="G14" s="255"/>
      <c r="H14" s="2418"/>
      <c r="I14" s="2784"/>
      <c r="J14" s="1939">
        <v>5</v>
      </c>
      <c r="K14" s="1940" t="s">
        <v>612</v>
      </c>
      <c r="L14" s="1955">
        <v>4</v>
      </c>
      <c r="M14" s="1951" t="s">
        <v>613</v>
      </c>
      <c r="N14" s="341" t="s">
        <v>614</v>
      </c>
      <c r="O14" s="247" t="s">
        <v>431</v>
      </c>
      <c r="P14" s="3006"/>
      <c r="Q14" s="3044"/>
      <c r="R14" s="3044"/>
      <c r="S14" s="3044"/>
      <c r="T14" s="3044"/>
      <c r="U14" s="3044"/>
      <c r="V14" s="3044"/>
      <c r="W14" s="3044"/>
      <c r="X14" s="3044"/>
      <c r="Y14" s="3047"/>
      <c r="Z14" s="3049"/>
      <c r="AA14" s="3044"/>
      <c r="AB14" s="2888"/>
      <c r="AC14" s="2890"/>
      <c r="AD14" s="2783"/>
      <c r="AE14" s="2783"/>
      <c r="AF14" s="2783"/>
      <c r="AG14" s="2783"/>
      <c r="AH14" s="2783"/>
      <c r="AI14" s="2783"/>
      <c r="AJ14" s="2805"/>
      <c r="AK14" s="2805"/>
      <c r="AL14" s="2805"/>
      <c r="AM14" s="3006"/>
      <c r="AN14" s="3021"/>
      <c r="AO14" s="2783"/>
      <c r="AP14" s="3023"/>
      <c r="AQ14" s="2827"/>
      <c r="AR14" s="1666">
        <v>4</v>
      </c>
      <c r="AS14" s="1669" t="s">
        <v>613</v>
      </c>
      <c r="AT14" s="3034" t="s">
        <v>615</v>
      </c>
      <c r="AU14" s="1967"/>
      <c r="AV14" s="2440"/>
      <c r="AW14" s="2785"/>
      <c r="AX14" s="344"/>
      <c r="AY14" s="3006"/>
      <c r="AZ14" s="2783"/>
      <c r="BA14" s="2898"/>
      <c r="BB14" s="250"/>
      <c r="BC14" s="342"/>
      <c r="BD14" s="2155"/>
      <c r="BE14" s="2994"/>
      <c r="BF14" s="2159"/>
      <c r="BG14" s="2382" t="s">
        <v>227</v>
      </c>
      <c r="BH14" s="2384"/>
      <c r="BI14" s="1395" t="s">
        <v>616</v>
      </c>
      <c r="BJ14" s="2898" t="s">
        <v>617</v>
      </c>
      <c r="BK14" s="3006"/>
      <c r="BL14" s="1388"/>
      <c r="BM14" s="1535"/>
      <c r="BN14" s="257" t="s">
        <v>227</v>
      </c>
      <c r="BO14" s="2783"/>
      <c r="BP14" s="2419" t="s">
        <v>618</v>
      </c>
      <c r="BQ14" s="3035" t="s">
        <v>619</v>
      </c>
      <c r="BR14" s="3038" t="s">
        <v>619</v>
      </c>
      <c r="BS14" s="2899" t="s">
        <v>619</v>
      </c>
      <c r="BT14" s="2899" t="s">
        <v>619</v>
      </c>
      <c r="BU14" s="2899" t="s">
        <v>619</v>
      </c>
      <c r="BV14" s="3037" t="s">
        <v>619</v>
      </c>
      <c r="BW14" s="2403"/>
      <c r="BX14" s="2988" t="str">
        <f>CONCATENATE("1 Oui")</f>
        <v>1 Oui</v>
      </c>
      <c r="BY14" s="2988"/>
      <c r="BZ14" s="2989" t="str">
        <f>CONCATENATE("1 Oui")</f>
        <v>1 Oui</v>
      </c>
      <c r="CA14" s="2303"/>
      <c r="CB14" s="2989"/>
      <c r="CC14" s="2277"/>
      <c r="CD14" s="2995" t="str">
        <f>CONCATENATE("1 Oui ►", "Enfant suivant")</f>
        <v>1 Oui ►Enfant suivant</v>
      </c>
      <c r="CE14" s="2994" t="s">
        <v>2650</v>
      </c>
    </row>
    <row r="15" spans="1:83" ht="13.5" customHeight="1" x14ac:dyDescent="0.25">
      <c r="A15" s="3006"/>
      <c r="B15" s="2947"/>
      <c r="C15" s="2827"/>
      <c r="D15" s="3071"/>
      <c r="E15" s="3072"/>
      <c r="F15" s="247"/>
      <c r="G15" s="255">
        <v>1</v>
      </c>
      <c r="H15" s="3069" t="s">
        <v>620</v>
      </c>
      <c r="I15" s="2784"/>
      <c r="J15" s="1939">
        <v>6</v>
      </c>
      <c r="K15" s="1941" t="s">
        <v>621</v>
      </c>
      <c r="L15" s="1955">
        <v>5</v>
      </c>
      <c r="M15" s="1940" t="s">
        <v>622</v>
      </c>
      <c r="N15" s="541" t="s">
        <v>623</v>
      </c>
      <c r="O15" s="247" t="s">
        <v>460</v>
      </c>
      <c r="P15" s="3006"/>
      <c r="Q15" s="3044"/>
      <c r="R15" s="3044"/>
      <c r="S15" s="3044"/>
      <c r="T15" s="3044"/>
      <c r="U15" s="3044"/>
      <c r="V15" s="3044"/>
      <c r="W15" s="3044"/>
      <c r="X15" s="3044"/>
      <c r="Y15" s="3047"/>
      <c r="Z15" s="3049"/>
      <c r="AA15" s="3044"/>
      <c r="AB15" s="2888" t="s">
        <v>624</v>
      </c>
      <c r="AC15" s="2890"/>
      <c r="AD15" s="2783"/>
      <c r="AE15" s="2783"/>
      <c r="AF15" s="2783"/>
      <c r="AG15" s="2783"/>
      <c r="AH15" s="1655"/>
      <c r="AI15" s="2376"/>
      <c r="AJ15" s="2805"/>
      <c r="AK15" s="2805"/>
      <c r="AL15" s="2805"/>
      <c r="AM15" s="3006"/>
      <c r="AN15" s="3021"/>
      <c r="AO15" s="2366"/>
      <c r="AP15" s="3023"/>
      <c r="AQ15" s="2827"/>
      <c r="AR15" s="1666">
        <v>5</v>
      </c>
      <c r="AS15" s="1670" t="s">
        <v>622</v>
      </c>
      <c r="AT15" s="3034"/>
      <c r="AU15" s="1967"/>
      <c r="AV15" s="2440"/>
      <c r="AW15" s="2785"/>
      <c r="AX15" s="2772" t="s">
        <v>625</v>
      </c>
      <c r="AY15" s="3006"/>
      <c r="AZ15" s="2783"/>
      <c r="BA15" s="2898"/>
      <c r="BB15" s="2833" t="s">
        <v>626</v>
      </c>
      <c r="BC15" s="2832" t="s">
        <v>627</v>
      </c>
      <c r="BD15" s="3026" t="s">
        <v>628</v>
      </c>
      <c r="BE15" s="2994"/>
      <c r="BF15" s="3030" t="s">
        <v>629</v>
      </c>
      <c r="BG15" s="2932" t="str">
        <f>CONCATENATE("2 Non ►(",ROUND(BL4,2),")")</f>
        <v>2 Non ►(3.36)</v>
      </c>
      <c r="BH15" s="247"/>
      <c r="BI15" s="2384" t="s">
        <v>630</v>
      </c>
      <c r="BJ15" s="2898"/>
      <c r="BK15" s="3006"/>
      <c r="BL15" s="79" t="s">
        <v>227</v>
      </c>
      <c r="BM15" s="1328"/>
      <c r="BN15" s="3090" t="str">
        <f>CONCATENATE("2 Non")</f>
        <v>2 Non</v>
      </c>
      <c r="BO15" s="2783"/>
      <c r="BP15" s="161" t="s">
        <v>631</v>
      </c>
      <c r="BQ15" s="3035"/>
      <c r="BR15" s="3038"/>
      <c r="BS15" s="2899"/>
      <c r="BT15" s="2899"/>
      <c r="BU15" s="2899"/>
      <c r="BV15" s="3037"/>
      <c r="BW15" s="2403"/>
      <c r="BX15" s="2988"/>
      <c r="BY15" s="2988"/>
      <c r="BZ15" s="2989"/>
      <c r="CA15" s="2303"/>
      <c r="CB15" s="2989"/>
      <c r="CC15" s="2277"/>
      <c r="CD15" s="2995"/>
      <c r="CE15" s="2994"/>
    </row>
    <row r="16" spans="1:83" ht="14.25" customHeight="1" x14ac:dyDescent="0.25">
      <c r="A16" s="3006"/>
      <c r="B16" s="2947"/>
      <c r="C16" s="157"/>
      <c r="D16" s="3071"/>
      <c r="E16" s="3072"/>
      <c r="F16" s="247" t="s">
        <v>227</v>
      </c>
      <c r="G16" s="255"/>
      <c r="H16" s="3069"/>
      <c r="I16" s="2784"/>
      <c r="J16" s="1942">
        <v>7</v>
      </c>
      <c r="K16" s="1941" t="s">
        <v>632</v>
      </c>
      <c r="L16" s="1955">
        <v>6</v>
      </c>
      <c r="M16" s="1940" t="s">
        <v>633</v>
      </c>
      <c r="N16" s="249" t="s">
        <v>634</v>
      </c>
      <c r="O16" s="246" t="s">
        <v>481</v>
      </c>
      <c r="P16" s="3006"/>
      <c r="Q16" s="3044"/>
      <c r="R16" s="3044"/>
      <c r="S16" s="3044"/>
      <c r="T16" s="3044"/>
      <c r="U16" s="3044"/>
      <c r="V16" s="3044"/>
      <c r="W16" s="3044"/>
      <c r="X16" s="3044"/>
      <c r="Y16" s="3047"/>
      <c r="Z16" s="3049"/>
      <c r="AA16" s="3044"/>
      <c r="AB16" s="2888"/>
      <c r="AC16" s="2890"/>
      <c r="AD16" s="2783"/>
      <c r="AE16" s="2783"/>
      <c r="AF16" s="2783"/>
      <c r="AG16" s="2783"/>
      <c r="AH16" s="1655"/>
      <c r="AI16" s="2376"/>
      <c r="AJ16" s="2805"/>
      <c r="AK16" s="2805"/>
      <c r="AL16" s="2805"/>
      <c r="AM16" s="3006"/>
      <c r="AN16" s="3021"/>
      <c r="AO16" s="2366"/>
      <c r="AP16" s="3023"/>
      <c r="AQ16" s="2827"/>
      <c r="AR16" s="1666">
        <v>6</v>
      </c>
      <c r="AS16" s="1670" t="s">
        <v>633</v>
      </c>
      <c r="AT16" s="3034"/>
      <c r="AU16" s="1967"/>
      <c r="AV16" s="2440"/>
      <c r="AW16" s="2785"/>
      <c r="AX16" s="2772"/>
      <c r="AY16" s="3006"/>
      <c r="AZ16" s="2783"/>
      <c r="BA16" s="2384"/>
      <c r="BB16" s="2833"/>
      <c r="BC16" s="2832"/>
      <c r="BD16" s="3026"/>
      <c r="BE16" s="2160"/>
      <c r="BF16" s="3030"/>
      <c r="BG16" s="2932"/>
      <c r="BH16" s="247"/>
      <c r="BI16" s="247" t="s">
        <v>635</v>
      </c>
      <c r="BJ16" s="2384" t="s">
        <v>636</v>
      </c>
      <c r="BK16" s="3006"/>
      <c r="BL16" s="2409" t="str">
        <f>CONCATENATE("2 Non ►(",TEXT(BN4,"0.00"),")")</f>
        <v>2 Non ►(3.38)</v>
      </c>
      <c r="BM16" s="2385"/>
      <c r="BN16" s="3090"/>
      <c r="BO16" s="2783"/>
      <c r="BP16" s="240" t="s">
        <v>635</v>
      </c>
      <c r="BQ16" s="3035" t="s">
        <v>637</v>
      </c>
      <c r="BR16" s="3038" t="s">
        <v>637</v>
      </c>
      <c r="BS16" s="2899" t="s">
        <v>637</v>
      </c>
      <c r="BT16" s="2899" t="s">
        <v>637</v>
      </c>
      <c r="BU16" s="2899" t="s">
        <v>637</v>
      </c>
      <c r="BV16" s="3037" t="s">
        <v>637</v>
      </c>
      <c r="BW16" s="2403"/>
      <c r="BX16" s="2988" t="str">
        <f>CONCATENATE("2 Non ►(",TEXT(BZ4,"0.00"),")")</f>
        <v>2 Non ►(3.49)</v>
      </c>
      <c r="BY16" s="2988"/>
      <c r="BZ16" s="2958" t="s">
        <v>638</v>
      </c>
      <c r="CA16" s="2304"/>
      <c r="CB16" s="2989"/>
      <c r="CC16" s="2277"/>
      <c r="CD16" s="2995" t="str">
        <f>CONCATENATE("2 Non ")</f>
        <v xml:space="preserve">2 Non </v>
      </c>
      <c r="CE16" s="2994"/>
    </row>
    <row r="17" spans="1:83" ht="13.5" customHeight="1" x14ac:dyDescent="0.3">
      <c r="A17" s="3006"/>
      <c r="B17" s="2947"/>
      <c r="C17" s="162" t="s">
        <v>227</v>
      </c>
      <c r="D17" s="3071"/>
      <c r="E17" s="3072"/>
      <c r="F17" s="2898" t="str">
        <f>CONCATENATE("2 Non ► (", TEXT(I4,"0.00"),")")</f>
        <v>2 Non ► (3.05)</v>
      </c>
      <c r="G17" s="1897">
        <v>2</v>
      </c>
      <c r="H17" s="2827" t="s">
        <v>639</v>
      </c>
      <c r="I17" s="2784"/>
      <c r="J17" s="1939">
        <v>8</v>
      </c>
      <c r="K17" s="1943" t="s">
        <v>640</v>
      </c>
      <c r="L17" s="1957"/>
      <c r="M17" s="1950" t="s">
        <v>641</v>
      </c>
      <c r="N17" s="2404" t="s">
        <v>642</v>
      </c>
      <c r="O17" s="246"/>
      <c r="P17" s="3006"/>
      <c r="Q17" s="3044"/>
      <c r="R17" s="3044"/>
      <c r="S17" s="3044"/>
      <c r="T17" s="3044"/>
      <c r="U17" s="3044"/>
      <c r="V17" s="3044"/>
      <c r="W17" s="3044"/>
      <c r="X17" s="3044"/>
      <c r="Y17" s="3047"/>
      <c r="Z17" s="3049"/>
      <c r="AA17" s="3044"/>
      <c r="AB17" s="2888" t="s">
        <v>643</v>
      </c>
      <c r="AC17" s="2890"/>
      <c r="AD17" s="2783"/>
      <c r="AE17" s="2783"/>
      <c r="AF17" s="2783"/>
      <c r="AG17" s="1655"/>
      <c r="AH17" s="1655"/>
      <c r="AI17" s="2376"/>
      <c r="AJ17" s="2805"/>
      <c r="AK17" s="2805"/>
      <c r="AL17" s="2805"/>
      <c r="AM17" s="3006"/>
      <c r="AN17" s="3021"/>
      <c r="AO17" s="2366"/>
      <c r="AP17" s="3023"/>
      <c r="AQ17" s="2827"/>
      <c r="AR17" s="1671"/>
      <c r="AS17" s="1665" t="s">
        <v>641</v>
      </c>
      <c r="AT17" s="3034"/>
      <c r="AU17" s="1967"/>
      <c r="AV17" s="2440"/>
      <c r="AW17" s="2785"/>
      <c r="AX17" s="2772"/>
      <c r="AY17" s="3006"/>
      <c r="AZ17" s="1113"/>
      <c r="BA17" s="2384"/>
      <c r="BB17" s="2833"/>
      <c r="BC17" s="2832"/>
      <c r="BD17" s="3026"/>
      <c r="BE17" s="2160"/>
      <c r="BF17" s="3030"/>
      <c r="BG17" s="345"/>
      <c r="BH17" s="345"/>
      <c r="BI17" s="345"/>
      <c r="BJ17" s="1395"/>
      <c r="BK17" s="3006"/>
      <c r="BL17" s="1389"/>
      <c r="BM17" s="1536"/>
      <c r="BN17" s="248"/>
      <c r="BO17" s="2951" t="s">
        <v>644</v>
      </c>
      <c r="BP17" s="258" t="s">
        <v>645</v>
      </c>
      <c r="BQ17" s="3035"/>
      <c r="BR17" s="3038"/>
      <c r="BS17" s="2899"/>
      <c r="BT17" s="2899"/>
      <c r="BU17" s="2899"/>
      <c r="BV17" s="3037"/>
      <c r="BW17" s="2403"/>
      <c r="BX17" s="2988"/>
      <c r="BY17" s="2988"/>
      <c r="BZ17" s="2958"/>
      <c r="CA17" s="2304"/>
      <c r="CB17" s="2989"/>
      <c r="CC17" s="2277"/>
      <c r="CD17" s="2995"/>
      <c r="CE17" s="2994"/>
    </row>
    <row r="18" spans="1:83" ht="15.75" customHeight="1" x14ac:dyDescent="0.3">
      <c r="A18" s="3006"/>
      <c r="B18" s="2947"/>
      <c r="C18" s="2783" t="str">
        <f>CONCATENATE("2 Non ►(",AD4,")")</f>
        <v>2 Non ►(3.12)</v>
      </c>
      <c r="D18" s="3071"/>
      <c r="E18" s="3072"/>
      <c r="F18" s="2898"/>
      <c r="G18" s="157"/>
      <c r="H18" s="2827"/>
      <c r="I18" s="2784"/>
      <c r="J18" s="1939">
        <v>9</v>
      </c>
      <c r="K18" s="3065" t="s">
        <v>646</v>
      </c>
      <c r="L18" s="1958">
        <v>7</v>
      </c>
      <c r="M18" s="1952" t="s">
        <v>647</v>
      </c>
      <c r="N18" s="1317" t="s">
        <v>648</v>
      </c>
      <c r="O18" s="247"/>
      <c r="P18" s="3006"/>
      <c r="Q18" s="3044"/>
      <c r="R18" s="3044"/>
      <c r="S18" s="3044"/>
      <c r="T18" s="3044"/>
      <c r="U18" s="3044"/>
      <c r="V18" s="3044"/>
      <c r="W18" s="3044"/>
      <c r="X18" s="3044"/>
      <c r="Y18" s="3047"/>
      <c r="Z18" s="3049"/>
      <c r="AA18" s="3044"/>
      <c r="AB18" s="2888"/>
      <c r="AC18" s="2890"/>
      <c r="AD18" s="2783"/>
      <c r="AE18" s="2783"/>
      <c r="AF18" s="2783"/>
      <c r="AG18" s="2772" t="s">
        <v>649</v>
      </c>
      <c r="AH18" s="2772" t="s">
        <v>650</v>
      </c>
      <c r="AI18" s="2772" t="s">
        <v>651</v>
      </c>
      <c r="AJ18" s="3080" t="s">
        <v>652</v>
      </c>
      <c r="AK18" s="3080" t="s">
        <v>652</v>
      </c>
      <c r="AL18" s="3080" t="s">
        <v>652</v>
      </c>
      <c r="AM18" s="3006"/>
      <c r="AN18" s="3021"/>
      <c r="AO18" s="2366"/>
      <c r="AP18" s="3023"/>
      <c r="AQ18" s="2827"/>
      <c r="AR18" s="1672">
        <v>7</v>
      </c>
      <c r="AS18" s="1673" t="s">
        <v>647</v>
      </c>
      <c r="AT18" s="161"/>
      <c r="AU18" s="1968"/>
      <c r="AV18" s="1964"/>
      <c r="AW18" s="2785"/>
      <c r="AX18" s="2772"/>
      <c r="AY18" s="3006"/>
      <c r="AZ18" s="3027" t="s">
        <v>625</v>
      </c>
      <c r="BA18" s="252" t="s">
        <v>227</v>
      </c>
      <c r="BB18" s="2833"/>
      <c r="BC18" s="2832"/>
      <c r="BD18" s="3026"/>
      <c r="BE18" s="2161" t="s">
        <v>227</v>
      </c>
      <c r="BF18" s="3030"/>
      <c r="BG18" s="247"/>
      <c r="BH18" s="247"/>
      <c r="BI18" s="247"/>
      <c r="BJ18" s="247"/>
      <c r="BK18" s="3006"/>
      <c r="BL18" s="1390"/>
      <c r="BM18" s="365"/>
      <c r="BO18" s="2951"/>
      <c r="BP18" s="240"/>
      <c r="BQ18" s="3035" t="s">
        <v>653</v>
      </c>
      <c r="BR18" s="3038" t="s">
        <v>653</v>
      </c>
      <c r="BS18" s="2899" t="s">
        <v>653</v>
      </c>
      <c r="BT18" s="2899" t="s">
        <v>653</v>
      </c>
      <c r="BU18" s="2899" t="s">
        <v>653</v>
      </c>
      <c r="BV18" s="3037" t="s">
        <v>653</v>
      </c>
      <c r="BW18" s="2403"/>
      <c r="BX18" s="2988"/>
      <c r="BY18" s="2988"/>
      <c r="BZ18" s="2958"/>
      <c r="CA18" s="2304"/>
      <c r="CB18" s="2989"/>
      <c r="CC18" s="2277"/>
      <c r="CD18" s="2995"/>
      <c r="CE18" s="2994"/>
    </row>
    <row r="19" spans="1:83" ht="22" customHeight="1" x14ac:dyDescent="0.3">
      <c r="A19" s="3006"/>
      <c r="B19" s="2947"/>
      <c r="C19" s="2783"/>
      <c r="D19" s="3071"/>
      <c r="E19" s="3072"/>
      <c r="F19" s="250"/>
      <c r="G19" s="1897"/>
      <c r="H19" s="2827"/>
      <c r="I19" s="2458" t="str">
        <f>CONCATENATE("1 Oui ►(",TEXT(L4,"0.00"),")")</f>
        <v>1 Oui ►(3.07)</v>
      </c>
      <c r="J19" s="1939"/>
      <c r="K19" s="3065"/>
      <c r="L19" s="1959">
        <v>8</v>
      </c>
      <c r="M19" s="1952" t="s">
        <v>654</v>
      </c>
      <c r="N19" s="2885" t="s">
        <v>655</v>
      </c>
      <c r="O19" s="250"/>
      <c r="P19" s="3006"/>
      <c r="Q19" s="3044"/>
      <c r="R19" s="3044"/>
      <c r="S19" s="3044"/>
      <c r="T19" s="3044"/>
      <c r="U19" s="3044"/>
      <c r="V19" s="3044"/>
      <c r="W19" s="3044"/>
      <c r="X19" s="3044"/>
      <c r="Y19" s="3047"/>
      <c r="Z19" s="3049"/>
      <c r="AA19" s="3044"/>
      <c r="AB19" s="2458" t="s">
        <v>656</v>
      </c>
      <c r="AC19" s="249"/>
      <c r="AD19" s="2783"/>
      <c r="AE19" s="2772" t="s">
        <v>657</v>
      </c>
      <c r="AF19" s="2772" t="s">
        <v>657</v>
      </c>
      <c r="AG19" s="2772"/>
      <c r="AH19" s="2772"/>
      <c r="AI19" s="2772"/>
      <c r="AJ19" s="3080"/>
      <c r="AK19" s="3080"/>
      <c r="AL19" s="3080"/>
      <c r="AM19" s="3006"/>
      <c r="AO19" s="1395"/>
      <c r="AP19" s="3023"/>
      <c r="AQ19" s="2827"/>
      <c r="AR19" s="1674">
        <v>8</v>
      </c>
      <c r="AS19" s="1673" t="s">
        <v>654</v>
      </c>
      <c r="AT19" s="161"/>
      <c r="AU19" s="1968"/>
      <c r="AV19" s="1964"/>
      <c r="AX19" s="247"/>
      <c r="AY19" s="3006"/>
      <c r="AZ19" s="3027"/>
      <c r="BA19" s="2783" t="str">
        <f>CONCATENATE("2 Non ►(",TEXT(BE4,"0.00"),")")</f>
        <v>2 Non ►((3.31a))</v>
      </c>
      <c r="BB19" s="181"/>
      <c r="BC19" s="240"/>
      <c r="BD19" s="3026"/>
      <c r="BE19" s="3029" t="str">
        <f>CONCATENATE("2 Non ►(",TEXT(BG4,"0.00"),")")</f>
        <v>2 Non ►(3.32)</v>
      </c>
      <c r="BF19" s="2162"/>
      <c r="BG19" s="247"/>
      <c r="BH19" s="247"/>
      <c r="BI19" s="247"/>
      <c r="BJ19" s="247"/>
      <c r="BK19" s="3006"/>
      <c r="BL19" s="1390"/>
      <c r="BM19" s="365"/>
      <c r="BO19" s="3009" t="s">
        <v>658</v>
      </c>
      <c r="BP19" s="258"/>
      <c r="BQ19" s="3035"/>
      <c r="BR19" s="3038"/>
      <c r="BS19" s="2899"/>
      <c r="BT19" s="2899"/>
      <c r="BU19" s="2899"/>
      <c r="BV19" s="3037"/>
      <c r="BW19" s="2403"/>
      <c r="BX19" s="2988"/>
      <c r="BY19" s="2988"/>
      <c r="BZ19" s="2958"/>
      <c r="CA19" s="2304"/>
      <c r="CB19" s="2989"/>
      <c r="CC19" s="2277"/>
      <c r="CD19" s="2995"/>
      <c r="CE19" s="2994"/>
    </row>
    <row r="20" spans="1:83" ht="13.5" customHeight="1" x14ac:dyDescent="0.3">
      <c r="A20" s="3006"/>
      <c r="B20" s="2947"/>
      <c r="C20" s="248"/>
      <c r="D20" s="3071"/>
      <c r="E20" s="3072"/>
      <c r="F20" s="250"/>
      <c r="G20" s="1897">
        <v>3</v>
      </c>
      <c r="H20" s="2827" t="s">
        <v>659</v>
      </c>
      <c r="I20" s="239" t="s">
        <v>660</v>
      </c>
      <c r="J20" s="1939">
        <v>10</v>
      </c>
      <c r="K20" s="3065" t="s">
        <v>661</v>
      </c>
      <c r="L20" s="1958">
        <v>9</v>
      </c>
      <c r="M20" s="1953" t="s">
        <v>662</v>
      </c>
      <c r="N20" s="2885"/>
      <c r="O20" s="247"/>
      <c r="P20" s="3006"/>
      <c r="Q20" s="3044"/>
      <c r="R20" s="3044"/>
      <c r="S20" s="3044"/>
      <c r="T20" s="3044"/>
      <c r="U20" s="3044"/>
      <c r="V20" s="3044"/>
      <c r="W20" s="3044"/>
      <c r="X20" s="3044"/>
      <c r="Y20" s="3047"/>
      <c r="Z20" s="3049"/>
      <c r="AA20" s="3044"/>
      <c r="AB20" s="240"/>
      <c r="AC20" s="249"/>
      <c r="AD20" s="2783"/>
      <c r="AE20" s="2772"/>
      <c r="AF20" s="2772"/>
      <c r="AG20" s="2772"/>
      <c r="AH20" s="2772"/>
      <c r="AI20" s="2772"/>
      <c r="AJ20" s="3080"/>
      <c r="AK20" s="3080"/>
      <c r="AL20" s="3080"/>
      <c r="AM20" s="3006"/>
      <c r="AN20" s="2458" t="s">
        <v>227</v>
      </c>
      <c r="AO20" s="252"/>
      <c r="AP20" s="3023"/>
      <c r="AQ20" s="2827"/>
      <c r="AR20" s="1672">
        <v>9</v>
      </c>
      <c r="AS20" s="1675" t="s">
        <v>662</v>
      </c>
      <c r="AT20" s="161"/>
      <c r="AU20" s="1968"/>
      <c r="AV20" s="1964"/>
      <c r="AW20" s="248" t="s">
        <v>227</v>
      </c>
      <c r="AX20" s="247"/>
      <c r="AY20" s="3006"/>
      <c r="AZ20" s="3027"/>
      <c r="BA20" s="2783"/>
      <c r="BB20" s="181"/>
      <c r="BC20" s="240"/>
      <c r="BD20" s="3026"/>
      <c r="BE20" s="3029"/>
      <c r="BF20" s="2162"/>
      <c r="BG20" s="247"/>
      <c r="BH20" s="247"/>
      <c r="BI20" s="247"/>
      <c r="BJ20" s="247"/>
      <c r="BK20" s="3006"/>
      <c r="BL20" s="1390"/>
      <c r="BM20" s="365"/>
      <c r="BO20" s="3009"/>
      <c r="BP20" s="1711"/>
      <c r="BQ20" s="3035" t="s">
        <v>663</v>
      </c>
      <c r="BR20" s="3038" t="s">
        <v>663</v>
      </c>
      <c r="BS20" s="2899" t="s">
        <v>663</v>
      </c>
      <c r="BT20" s="2899" t="s">
        <v>663</v>
      </c>
      <c r="BU20" s="2899" t="s">
        <v>663</v>
      </c>
      <c r="BV20" s="3037" t="s">
        <v>663</v>
      </c>
      <c r="BW20" s="2403"/>
      <c r="BX20" s="2988"/>
      <c r="BY20" s="2988"/>
      <c r="BZ20" s="2989"/>
      <c r="CA20" s="2303"/>
      <c r="CB20" s="2989"/>
      <c r="CC20" s="2277"/>
      <c r="CD20" s="2995"/>
      <c r="CE20" s="2994"/>
    </row>
    <row r="21" spans="1:83" ht="16.5" customHeight="1" x14ac:dyDescent="0.25">
      <c r="A21" s="3006"/>
      <c r="B21" s="2947"/>
      <c r="C21" s="248"/>
      <c r="D21" s="3071"/>
      <c r="E21" s="3072"/>
      <c r="F21" s="250"/>
      <c r="G21" s="1897"/>
      <c r="H21" s="2827"/>
      <c r="I21" s="161"/>
      <c r="J21" s="1944"/>
      <c r="K21" s="3065"/>
      <c r="L21" s="1958">
        <v>10</v>
      </c>
      <c r="M21" s="1952" t="s">
        <v>664</v>
      </c>
      <c r="N21" s="3058" t="s">
        <v>665</v>
      </c>
      <c r="O21" s="250"/>
      <c r="P21" s="3006"/>
      <c r="Q21" s="3044"/>
      <c r="R21" s="3044"/>
      <c r="S21" s="3044"/>
      <c r="T21" s="3044"/>
      <c r="U21" s="3044"/>
      <c r="V21" s="3044"/>
      <c r="W21" s="3044"/>
      <c r="X21" s="3044"/>
      <c r="Y21" s="3047"/>
      <c r="Z21" s="3049"/>
      <c r="AA21" s="3044"/>
      <c r="AB21" s="3084" t="str">
        <f>CONCATENATE("►► (",TEXT(AE4,"0.00"),")")</f>
        <v>►► (3.13)</v>
      </c>
      <c r="AC21" s="3085"/>
      <c r="AD21" s="2783"/>
      <c r="AE21" s="2772"/>
      <c r="AF21" s="2772"/>
      <c r="AG21" s="2772"/>
      <c r="AH21" s="2772"/>
      <c r="AI21" s="2772"/>
      <c r="AJ21" s="3080"/>
      <c r="AK21" s="3080"/>
      <c r="AL21" s="3080"/>
      <c r="AM21" s="3006"/>
      <c r="AN21" s="3079" t="str">
        <f>CONCATENATE("2 Non ►(",TEXT(AW4,"0.00"),")")</f>
        <v>2 Non ►(3.25)</v>
      </c>
      <c r="AO21" s="2407"/>
      <c r="AP21" s="3023"/>
      <c r="AQ21" s="2827"/>
      <c r="AR21" s="2336">
        <v>10</v>
      </c>
      <c r="AS21" s="3025" t="s">
        <v>666</v>
      </c>
      <c r="AT21" s="161"/>
      <c r="AU21" s="1968"/>
      <c r="AV21" s="1964"/>
      <c r="AW21" s="248" t="str">
        <f>CONCATENATE("2 Non ►(",TEXT(BA4,"0.00"),")")</f>
        <v>2 Non ►(3.28)</v>
      </c>
      <c r="AX21" s="247"/>
      <c r="AY21" s="3006"/>
      <c r="AZ21" s="3027"/>
      <c r="BA21" s="2384"/>
      <c r="BB21" s="181"/>
      <c r="BC21" s="248"/>
      <c r="BD21" s="2154"/>
      <c r="BE21" s="2163"/>
      <c r="BF21" s="1934"/>
      <c r="BG21" s="247"/>
      <c r="BH21" s="247"/>
      <c r="BI21" s="247"/>
      <c r="BJ21" s="247"/>
      <c r="BK21" s="3006"/>
      <c r="BL21" s="1390"/>
      <c r="BM21" s="365"/>
      <c r="BN21" s="248"/>
      <c r="BO21" s="1627" t="s">
        <v>667</v>
      </c>
      <c r="BP21" s="240"/>
      <c r="BQ21" s="3035"/>
      <c r="BR21" s="3038"/>
      <c r="BS21" s="2899"/>
      <c r="BT21" s="2899"/>
      <c r="BU21" s="2899"/>
      <c r="BV21" s="3037"/>
      <c r="BW21" s="2403"/>
      <c r="BX21" s="2988"/>
      <c r="BY21" s="2988"/>
      <c r="BZ21" s="2989"/>
      <c r="CA21" s="2303"/>
      <c r="CB21" s="2989"/>
      <c r="CC21" s="2277"/>
      <c r="CD21" s="2995"/>
      <c r="CE21" s="2994"/>
    </row>
    <row r="22" spans="1:83" ht="16.5" customHeight="1" x14ac:dyDescent="0.25">
      <c r="A22" s="3006"/>
      <c r="B22" s="2947"/>
      <c r="C22" s="248"/>
      <c r="D22" s="3071"/>
      <c r="E22" s="3072"/>
      <c r="F22" s="250"/>
      <c r="G22" s="1897"/>
      <c r="H22" s="2352"/>
      <c r="I22" s="161"/>
      <c r="J22" s="1944">
        <v>11</v>
      </c>
      <c r="K22" s="2425" t="s">
        <v>668</v>
      </c>
      <c r="L22" s="1958">
        <v>11</v>
      </c>
      <c r="M22" s="3057" t="s">
        <v>666</v>
      </c>
      <c r="N22" s="3058"/>
      <c r="O22" s="250"/>
      <c r="P22" s="3006"/>
      <c r="Q22" s="3044"/>
      <c r="R22" s="3044"/>
      <c r="S22" s="3044"/>
      <c r="T22" s="3044"/>
      <c r="U22" s="3044"/>
      <c r="V22" s="3044"/>
      <c r="W22" s="3044"/>
      <c r="X22" s="3044"/>
      <c r="Y22" s="3047"/>
      <c r="Z22" s="3049"/>
      <c r="AA22" s="3044"/>
      <c r="AB22" s="2414"/>
      <c r="AC22" s="2415"/>
      <c r="AD22" s="2783"/>
      <c r="AE22" s="2772"/>
      <c r="AF22" s="2772"/>
      <c r="AG22" s="2772"/>
      <c r="AH22" s="2772"/>
      <c r="AI22" s="2772"/>
      <c r="AJ22" s="3080"/>
      <c r="AK22" s="3080"/>
      <c r="AL22" s="3080"/>
      <c r="AM22" s="3006"/>
      <c r="AN22" s="3079"/>
      <c r="AO22" s="2407"/>
      <c r="AP22" s="3023"/>
      <c r="AQ22" s="2352"/>
      <c r="AR22" s="1672"/>
      <c r="AS22" s="3025"/>
      <c r="AT22" s="161"/>
      <c r="AU22" s="1968"/>
      <c r="AV22" s="1964"/>
      <c r="AW22" s="248"/>
      <c r="AX22" s="247"/>
      <c r="AY22" s="3006"/>
      <c r="AZ22" s="3027"/>
      <c r="BA22" s="2351"/>
      <c r="BB22" s="181"/>
      <c r="BC22" s="248"/>
      <c r="BD22" s="2154"/>
      <c r="BE22" s="2163"/>
      <c r="BF22" s="1934"/>
      <c r="BG22" s="247"/>
      <c r="BH22" s="247"/>
      <c r="BI22" s="247"/>
      <c r="BJ22" s="247"/>
      <c r="BK22" s="3006"/>
      <c r="BL22" s="1390"/>
      <c r="BM22" s="365"/>
      <c r="BN22" s="248"/>
      <c r="BO22" s="1627"/>
      <c r="BP22" s="240"/>
      <c r="BQ22" s="3033" t="s">
        <v>669</v>
      </c>
      <c r="BR22" s="3033" t="s">
        <v>669</v>
      </c>
      <c r="BS22" s="3033" t="s">
        <v>669</v>
      </c>
      <c r="BT22" s="3033" t="s">
        <v>669</v>
      </c>
      <c r="BU22" s="3033" t="s">
        <v>669</v>
      </c>
      <c r="BV22" s="3033" t="s">
        <v>669</v>
      </c>
      <c r="BW22" s="2352"/>
      <c r="BX22" s="2436"/>
      <c r="BY22" s="2436"/>
      <c r="BZ22" s="2437"/>
      <c r="CA22" s="2303"/>
      <c r="CB22" s="2437"/>
      <c r="CC22" s="2277"/>
      <c r="CD22" s="2439"/>
      <c r="CE22" s="2994"/>
    </row>
    <row r="23" spans="1:83" ht="16.5" customHeight="1" x14ac:dyDescent="0.3">
      <c r="A23" s="3006"/>
      <c r="B23" s="2947"/>
      <c r="C23" s="248"/>
      <c r="D23" s="3071"/>
      <c r="E23" s="3072"/>
      <c r="F23" s="250"/>
      <c r="G23" s="1897"/>
      <c r="H23" s="2352"/>
      <c r="I23" s="161"/>
      <c r="J23" s="1944">
        <v>12</v>
      </c>
      <c r="K23" s="2425" t="s">
        <v>670</v>
      </c>
      <c r="L23" s="1957"/>
      <c r="M23" s="3057"/>
      <c r="N23" s="3083" t="s">
        <v>671</v>
      </c>
      <c r="O23" s="250"/>
      <c r="P23" s="3006"/>
      <c r="Q23" s="3044"/>
      <c r="R23" s="3044"/>
      <c r="S23" s="3044"/>
      <c r="T23" s="3044"/>
      <c r="U23" s="3044"/>
      <c r="V23" s="3044"/>
      <c r="W23" s="3044"/>
      <c r="X23" s="3044"/>
      <c r="Y23" s="3047"/>
      <c r="Z23" s="3049"/>
      <c r="AA23" s="3044"/>
      <c r="AB23" s="2414"/>
      <c r="AC23" s="2415"/>
      <c r="AD23" s="2783"/>
      <c r="AE23" s="2772"/>
      <c r="AF23" s="2772"/>
      <c r="AG23" s="2772"/>
      <c r="AH23" s="2772"/>
      <c r="AI23" s="2772"/>
      <c r="AJ23" s="3080"/>
      <c r="AK23" s="3080"/>
      <c r="AL23" s="3080"/>
      <c r="AM23" s="3006"/>
      <c r="AN23" s="3079"/>
      <c r="AO23" s="2407"/>
      <c r="AP23" s="3023"/>
      <c r="AQ23" s="2352"/>
      <c r="AR23" s="2336">
        <v>11</v>
      </c>
      <c r="AS23" s="1673" t="s">
        <v>672</v>
      </c>
      <c r="AT23" s="161"/>
      <c r="AU23" s="1968"/>
      <c r="AV23" s="1964"/>
      <c r="AW23" s="248"/>
      <c r="AX23" s="247"/>
      <c r="AY23" s="3006"/>
      <c r="AZ23" s="3027"/>
      <c r="BA23" s="2351"/>
      <c r="BB23" s="181"/>
      <c r="BC23" s="248"/>
      <c r="BD23" s="2154"/>
      <c r="BE23" s="2163"/>
      <c r="BF23" s="1934"/>
      <c r="BG23" s="247"/>
      <c r="BH23" s="247"/>
      <c r="BI23" s="247"/>
      <c r="BJ23" s="247"/>
      <c r="BK23" s="3006"/>
      <c r="BL23" s="1390"/>
      <c r="BM23" s="365"/>
      <c r="BN23" s="248"/>
      <c r="BO23" s="1627"/>
      <c r="BP23" s="240"/>
      <c r="BQ23" s="3033"/>
      <c r="BR23" s="3033"/>
      <c r="BS23" s="3033"/>
      <c r="BT23" s="3033"/>
      <c r="BU23" s="3033"/>
      <c r="BV23" s="3033"/>
      <c r="BW23" s="2352"/>
      <c r="BX23" s="2436"/>
      <c r="BY23" s="2436"/>
      <c r="BZ23" s="2437"/>
      <c r="CA23" s="2303"/>
      <c r="CB23" s="2437"/>
      <c r="CC23" s="2277"/>
      <c r="CD23" s="2439"/>
      <c r="CE23" s="2994"/>
    </row>
    <row r="24" spans="1:83" ht="16.5" customHeight="1" x14ac:dyDescent="0.25">
      <c r="A24" s="3006"/>
      <c r="B24" s="2947"/>
      <c r="C24" s="248"/>
      <c r="D24" s="3071"/>
      <c r="E24" s="3072"/>
      <c r="F24" s="250"/>
      <c r="G24" s="1897"/>
      <c r="H24" s="2352"/>
      <c r="I24" s="161"/>
      <c r="J24" s="1944">
        <v>13</v>
      </c>
      <c r="K24" s="2425" t="s">
        <v>673</v>
      </c>
      <c r="L24" s="1960">
        <v>12</v>
      </c>
      <c r="M24" s="1952" t="s">
        <v>672</v>
      </c>
      <c r="N24" s="3083"/>
      <c r="O24" s="250"/>
      <c r="P24" s="3006"/>
      <c r="Q24" s="3044"/>
      <c r="R24" s="3044"/>
      <c r="S24" s="3044"/>
      <c r="T24" s="3044"/>
      <c r="U24" s="3044"/>
      <c r="V24" s="3044"/>
      <c r="W24" s="3044"/>
      <c r="X24" s="3044"/>
      <c r="Y24" s="3047"/>
      <c r="Z24" s="3049"/>
      <c r="AA24" s="3044"/>
      <c r="AB24" s="2414"/>
      <c r="AC24" s="2415"/>
      <c r="AD24" s="2783"/>
      <c r="AE24" s="2772"/>
      <c r="AF24" s="2772"/>
      <c r="AG24" s="2772"/>
      <c r="AH24" s="2772"/>
      <c r="AI24" s="2772"/>
      <c r="AJ24" s="3080"/>
      <c r="AK24" s="3080"/>
      <c r="AL24" s="3080"/>
      <c r="AM24" s="3006"/>
      <c r="AN24" s="3079"/>
      <c r="AO24" s="2407"/>
      <c r="AP24" s="3023"/>
      <c r="AQ24" s="2352"/>
      <c r="AR24" s="1672"/>
      <c r="AS24" s="1673"/>
      <c r="AT24" s="161"/>
      <c r="AU24" s="1968"/>
      <c r="AV24" s="1964"/>
      <c r="AW24" s="248"/>
      <c r="AX24" s="247"/>
      <c r="AY24" s="3006"/>
      <c r="AZ24" s="3027"/>
      <c r="BA24" s="2351"/>
      <c r="BB24" s="181"/>
      <c r="BC24" s="248"/>
      <c r="BD24" s="2154"/>
      <c r="BE24" s="2163"/>
      <c r="BF24" s="1934"/>
      <c r="BG24" s="247"/>
      <c r="BH24" s="247"/>
      <c r="BI24" s="247"/>
      <c r="BJ24" s="247"/>
      <c r="BK24" s="3006"/>
      <c r="BL24" s="1390"/>
      <c r="BM24" s="365"/>
      <c r="BN24" s="248"/>
      <c r="BO24" s="1627"/>
      <c r="BP24" s="240"/>
      <c r="BQ24" s="3033"/>
      <c r="BR24" s="3033"/>
      <c r="BS24" s="3033"/>
      <c r="BT24" s="3033"/>
      <c r="BU24" s="3033"/>
      <c r="BV24" s="3033"/>
      <c r="BW24" s="2352"/>
      <c r="BX24" s="2436"/>
      <c r="BY24" s="2436"/>
      <c r="BZ24" s="2437"/>
      <c r="CA24" s="2303"/>
      <c r="CB24" s="2437"/>
      <c r="CC24" s="2277"/>
      <c r="CD24" s="2439"/>
      <c r="CE24" s="2994"/>
    </row>
    <row r="25" spans="1:83" ht="13.5" customHeight="1" x14ac:dyDescent="0.25">
      <c r="A25" s="3006"/>
      <c r="B25" s="2947"/>
      <c r="C25" s="248"/>
      <c r="D25" s="3071"/>
      <c r="E25" s="3072"/>
      <c r="F25" s="250"/>
      <c r="G25" s="157"/>
      <c r="H25" s="157"/>
      <c r="I25" s="161"/>
      <c r="J25" s="1945">
        <v>14</v>
      </c>
      <c r="K25" s="1943" t="s">
        <v>674</v>
      </c>
      <c r="L25" s="1958">
        <v>13</v>
      </c>
      <c r="M25" s="3057" t="s">
        <v>675</v>
      </c>
      <c r="N25" s="1948"/>
      <c r="O25" s="247"/>
      <c r="P25" s="3006"/>
      <c r="Q25" s="3044"/>
      <c r="R25" s="3044"/>
      <c r="S25" s="3044"/>
      <c r="T25" s="3044"/>
      <c r="U25" s="3044"/>
      <c r="V25" s="3044"/>
      <c r="W25" s="3044"/>
      <c r="X25" s="3044"/>
      <c r="Y25" s="3047"/>
      <c r="Z25" s="3049"/>
      <c r="AA25" s="3044"/>
      <c r="AB25" s="240"/>
      <c r="AC25" s="249"/>
      <c r="AD25" s="2783"/>
      <c r="AE25" s="2772"/>
      <c r="AF25" s="2772"/>
      <c r="AG25" s="2772"/>
      <c r="AH25" s="2772"/>
      <c r="AI25" s="2772"/>
      <c r="AJ25" s="3080"/>
      <c r="AK25" s="3080"/>
      <c r="AL25" s="3080"/>
      <c r="AM25" s="3006"/>
      <c r="AN25" s="3079"/>
      <c r="AO25" s="2407"/>
      <c r="AP25" s="3023"/>
      <c r="AQ25" s="1109"/>
      <c r="AR25" s="1672"/>
      <c r="AS25" s="3087"/>
      <c r="AT25" s="161"/>
      <c r="AU25" s="1968"/>
      <c r="AV25" s="1964"/>
      <c r="AW25" s="162"/>
      <c r="AX25" s="247"/>
      <c r="AY25" s="3006"/>
      <c r="AZ25" s="3027"/>
      <c r="BA25" s="258"/>
      <c r="BB25" s="181"/>
      <c r="BC25" s="248"/>
      <c r="BD25" s="2154"/>
      <c r="BE25" s="2163"/>
      <c r="BF25" s="1934"/>
      <c r="BG25" s="247"/>
      <c r="BH25" s="247"/>
      <c r="BI25" s="247"/>
      <c r="BJ25" s="247"/>
      <c r="BK25" s="3006"/>
      <c r="BL25" s="1390"/>
      <c r="BM25" s="365"/>
      <c r="BN25" s="248"/>
      <c r="BO25" s="181"/>
      <c r="BP25" s="240"/>
      <c r="BQ25" s="3033" t="s">
        <v>676</v>
      </c>
      <c r="BR25" s="2827"/>
      <c r="BS25" s="2898"/>
      <c r="BT25" s="2898"/>
      <c r="BU25" s="2898"/>
      <c r="BV25" s="3012"/>
      <c r="BW25" s="1976"/>
      <c r="BX25" s="2958"/>
      <c r="BY25" s="2997" t="s">
        <v>677</v>
      </c>
      <c r="BZ25" s="2959"/>
      <c r="CA25" s="2438"/>
      <c r="CB25" s="3000" t="s">
        <v>677</v>
      </c>
      <c r="CC25" s="2386"/>
      <c r="CD25" s="1963"/>
      <c r="CE25" s="2994"/>
    </row>
    <row r="26" spans="1:83" x14ac:dyDescent="0.3">
      <c r="A26" s="3006"/>
      <c r="B26" s="2947"/>
      <c r="C26" s="248"/>
      <c r="D26" s="3071"/>
      <c r="E26" s="3072"/>
      <c r="F26" s="250"/>
      <c r="G26" s="157"/>
      <c r="H26" s="157"/>
      <c r="I26" s="161"/>
      <c r="J26" s="3059" t="str">
        <f>CONCATENATE("►► (", TEXT(AD4,"0.00"),")")</f>
        <v>►► (3.12)</v>
      </c>
      <c r="K26" s="3060"/>
      <c r="L26" s="1957"/>
      <c r="M26" s="3057"/>
      <c r="N26" s="1948"/>
      <c r="O26" s="247"/>
      <c r="P26" s="3006"/>
      <c r="Q26" s="3044"/>
      <c r="R26" s="3044"/>
      <c r="S26" s="3044"/>
      <c r="T26" s="3044"/>
      <c r="U26" s="3044"/>
      <c r="V26" s="3044"/>
      <c r="W26" s="3044"/>
      <c r="X26" s="3044"/>
      <c r="Y26" s="3047"/>
      <c r="Z26" s="3049"/>
      <c r="AA26" s="3044"/>
      <c r="AB26" s="240"/>
      <c r="AC26" s="249"/>
      <c r="AD26" s="181" t="s">
        <v>227</v>
      </c>
      <c r="AE26" s="2773"/>
      <c r="AF26" s="2773"/>
      <c r="AG26" s="2773"/>
      <c r="AH26" s="2773"/>
      <c r="AI26" s="2773"/>
      <c r="AJ26" s="3081"/>
      <c r="AK26" s="3081"/>
      <c r="AL26" s="3081"/>
      <c r="AM26" s="3006"/>
      <c r="AN26" s="161"/>
      <c r="AO26" s="247"/>
      <c r="AP26" s="3023"/>
      <c r="AQ26" s="1109"/>
      <c r="AR26" s="1671"/>
      <c r="AS26" s="3087"/>
      <c r="AT26" s="1396"/>
      <c r="AU26" s="1966"/>
      <c r="AV26" s="1965"/>
      <c r="AW26" s="1401"/>
      <c r="AX26" s="344"/>
      <c r="AY26" s="3006"/>
      <c r="AZ26" s="3028"/>
      <c r="BA26" s="2382"/>
      <c r="BB26" s="344"/>
      <c r="BC26" s="1401"/>
      <c r="BD26" s="2156"/>
      <c r="BE26" s="2164"/>
      <c r="BF26" s="2165"/>
      <c r="BG26" s="247"/>
      <c r="BH26" s="247"/>
      <c r="BI26" s="247"/>
      <c r="BJ26" s="247"/>
      <c r="BK26" s="3006"/>
      <c r="BL26" s="1390"/>
      <c r="BM26" s="365"/>
      <c r="BN26" s="248"/>
      <c r="BO26" s="181"/>
      <c r="BP26" s="240"/>
      <c r="BQ26" s="3033"/>
      <c r="BR26" s="2827"/>
      <c r="BS26" s="2898"/>
      <c r="BT26" s="2898"/>
      <c r="BU26" s="2898"/>
      <c r="BV26" s="3012"/>
      <c r="BW26" s="1976"/>
      <c r="BX26" s="2958"/>
      <c r="BY26" s="2998"/>
      <c r="BZ26" s="2991"/>
      <c r="CA26" s="2438"/>
      <c r="CB26" s="3001"/>
      <c r="CC26" s="2386"/>
      <c r="CD26" s="1963"/>
      <c r="CE26" s="2994"/>
    </row>
    <row r="27" spans="1:83" ht="15.75" customHeight="1" x14ac:dyDescent="0.25">
      <c r="A27" s="3006"/>
      <c r="B27" s="2947"/>
      <c r="C27" s="248"/>
      <c r="D27" s="3073"/>
      <c r="E27" s="3074"/>
      <c r="F27" s="250"/>
      <c r="G27" s="157"/>
      <c r="H27" s="157"/>
      <c r="I27" s="161"/>
      <c r="J27" s="1946"/>
      <c r="K27" s="1947"/>
      <c r="L27" s="1961"/>
      <c r="M27" s="1954"/>
      <c r="N27" s="1949"/>
      <c r="O27" s="247"/>
      <c r="P27" s="3006"/>
      <c r="Q27" s="3044"/>
      <c r="R27" s="3044"/>
      <c r="S27" s="3044"/>
      <c r="T27" s="3044"/>
      <c r="U27" s="3044"/>
      <c r="V27" s="3044"/>
      <c r="W27" s="3044"/>
      <c r="X27" s="3044"/>
      <c r="Y27" s="3047"/>
      <c r="Z27" s="3049"/>
      <c r="AA27" s="3044"/>
      <c r="AB27" s="240"/>
      <c r="AC27" s="249"/>
      <c r="AD27" s="181" t="str">
        <f>CONCATENATE("2 Non ►(",AN4,")")</f>
        <v>2 Non ►(3.19)</v>
      </c>
      <c r="AE27" s="3015" t="s">
        <v>519</v>
      </c>
      <c r="AF27" s="3015" t="s">
        <v>519</v>
      </c>
      <c r="AG27" s="3015" t="s">
        <v>519</v>
      </c>
      <c r="AH27" s="3015" t="s">
        <v>519</v>
      </c>
      <c r="AI27" s="3015" t="s">
        <v>519</v>
      </c>
      <c r="AJ27" s="3082" t="s">
        <v>519</v>
      </c>
      <c r="AK27" s="3082" t="s">
        <v>519</v>
      </c>
      <c r="AL27" s="3053" t="s">
        <v>519</v>
      </c>
      <c r="AM27" s="3006"/>
      <c r="AN27" s="161"/>
      <c r="AO27" s="348"/>
      <c r="AP27" s="3024"/>
      <c r="AQ27" s="1109"/>
      <c r="AR27" s="1676"/>
      <c r="AS27" s="1677"/>
      <c r="AT27" s="3019" t="s">
        <v>519</v>
      </c>
      <c r="AU27" s="2157"/>
      <c r="AV27" s="3013" t="s">
        <v>519</v>
      </c>
      <c r="AW27" s="1401"/>
      <c r="AX27" s="3015" t="s">
        <v>519</v>
      </c>
      <c r="AY27" s="3006"/>
      <c r="AZ27" s="3019" t="s">
        <v>519</v>
      </c>
      <c r="BA27" s="941"/>
      <c r="BB27" s="3015" t="s">
        <v>519</v>
      </c>
      <c r="BC27" s="3015" t="s">
        <v>519</v>
      </c>
      <c r="BD27" s="3034" t="s">
        <v>519</v>
      </c>
      <c r="BE27" s="2166"/>
      <c r="BF27" s="3031" t="s">
        <v>519</v>
      </c>
      <c r="BG27" s="348"/>
      <c r="BH27" s="3007" t="s">
        <v>678</v>
      </c>
      <c r="BI27" s="247"/>
      <c r="BJ27" s="348"/>
      <c r="BK27" s="3006"/>
      <c r="BL27" s="1390"/>
      <c r="BM27" s="365"/>
      <c r="BN27" s="248"/>
      <c r="BO27" s="181"/>
      <c r="BP27" s="1973"/>
      <c r="BQ27" s="3066"/>
      <c r="BR27" s="2830"/>
      <c r="BS27" s="3036"/>
      <c r="BT27" s="3036"/>
      <c r="BU27" s="3036"/>
      <c r="BV27" s="3039"/>
      <c r="BW27" s="1977"/>
      <c r="BX27" s="2990"/>
      <c r="BY27" s="2998"/>
      <c r="BZ27" s="2992"/>
      <c r="CA27" s="2438"/>
      <c r="CB27" s="3001"/>
      <c r="CC27" s="2386"/>
      <c r="CD27" s="1965"/>
      <c r="CE27" s="2996"/>
    </row>
    <row r="28" spans="1:83" ht="15.75" customHeight="1" x14ac:dyDescent="0.25">
      <c r="A28" s="3067"/>
      <c r="B28" s="3068"/>
      <c r="C28" s="2417" t="s">
        <v>346</v>
      </c>
      <c r="D28" s="3017" t="s">
        <v>346</v>
      </c>
      <c r="E28" s="3018"/>
      <c r="F28" s="350" t="s">
        <v>346</v>
      </c>
      <c r="G28" s="3017" t="s">
        <v>346</v>
      </c>
      <c r="H28" s="3018"/>
      <c r="I28" s="350" t="s">
        <v>346</v>
      </c>
      <c r="J28" s="3062" t="s">
        <v>346</v>
      </c>
      <c r="K28" s="3063"/>
      <c r="L28" s="3062" t="s">
        <v>346</v>
      </c>
      <c r="M28" s="3063"/>
      <c r="N28" s="350" t="s">
        <v>346</v>
      </c>
      <c r="O28" s="350" t="s">
        <v>346</v>
      </c>
      <c r="P28" s="3006"/>
      <c r="Q28" s="3045"/>
      <c r="R28" s="3045"/>
      <c r="S28" s="3045"/>
      <c r="T28" s="3045"/>
      <c r="U28" s="3045"/>
      <c r="V28" s="3045"/>
      <c r="W28" s="3045"/>
      <c r="X28" s="3045"/>
      <c r="Y28" s="3048"/>
      <c r="Z28" s="3050"/>
      <c r="AA28" s="3045"/>
      <c r="AB28" s="2816" t="s">
        <v>346</v>
      </c>
      <c r="AC28" s="2818"/>
      <c r="AD28" s="183" t="s">
        <v>346</v>
      </c>
      <c r="AE28" s="3016"/>
      <c r="AF28" s="3016"/>
      <c r="AG28" s="3016"/>
      <c r="AH28" s="3016"/>
      <c r="AI28" s="3016"/>
      <c r="AJ28" s="3032"/>
      <c r="AK28" s="3032"/>
      <c r="AL28" s="3054"/>
      <c r="AM28" s="3006"/>
      <c r="AN28" s="350" t="s">
        <v>346</v>
      </c>
      <c r="AO28" s="2416" t="s">
        <v>141</v>
      </c>
      <c r="AP28" s="1970" t="s">
        <v>346</v>
      </c>
      <c r="AQ28" s="350" t="s">
        <v>141</v>
      </c>
      <c r="AR28" s="3017" t="s">
        <v>346</v>
      </c>
      <c r="AS28" s="3018"/>
      <c r="AT28" s="3020"/>
      <c r="AU28" s="2158" t="s">
        <v>346</v>
      </c>
      <c r="AV28" s="3014"/>
      <c r="AW28" s="2399" t="s">
        <v>346</v>
      </c>
      <c r="AX28" s="3016"/>
      <c r="AY28" s="3006"/>
      <c r="AZ28" s="3020"/>
      <c r="BA28" s="350" t="s">
        <v>346</v>
      </c>
      <c r="BB28" s="3016"/>
      <c r="BC28" s="3016"/>
      <c r="BD28" s="3016"/>
      <c r="BE28" s="2013" t="s">
        <v>346</v>
      </c>
      <c r="BF28" s="3032"/>
      <c r="BG28" s="183" t="s">
        <v>346</v>
      </c>
      <c r="BH28" s="3008"/>
      <c r="BI28" s="183" t="s">
        <v>346</v>
      </c>
      <c r="BJ28" s="2345" t="s">
        <v>346</v>
      </c>
      <c r="BK28" s="3006"/>
      <c r="BL28" s="466" t="s">
        <v>346</v>
      </c>
      <c r="BM28" s="1537" t="s">
        <v>346</v>
      </c>
      <c r="BN28" s="351" t="s">
        <v>346</v>
      </c>
      <c r="BO28" s="183" t="s">
        <v>346</v>
      </c>
      <c r="BP28" s="183" t="s">
        <v>346</v>
      </c>
      <c r="BQ28" s="463" t="s">
        <v>346</v>
      </c>
      <c r="BR28" s="183" t="s">
        <v>346</v>
      </c>
      <c r="BS28" s="2416" t="s">
        <v>346</v>
      </c>
      <c r="BT28" s="2416" t="s">
        <v>346</v>
      </c>
      <c r="BU28" s="183" t="s">
        <v>346</v>
      </c>
      <c r="BV28" s="1972" t="s">
        <v>346</v>
      </c>
      <c r="BW28" s="1978"/>
      <c r="BX28" s="1970" t="s">
        <v>346</v>
      </c>
      <c r="BY28" s="2999"/>
      <c r="BZ28" s="1975" t="s">
        <v>346</v>
      </c>
      <c r="CA28" s="2305" t="s">
        <v>679</v>
      </c>
      <c r="CB28" s="3002"/>
      <c r="CC28" s="2010"/>
      <c r="CD28" s="2441" t="s">
        <v>346</v>
      </c>
      <c r="CE28" s="2306" t="s">
        <v>346</v>
      </c>
    </row>
    <row r="29" spans="1:83" ht="12.5" x14ac:dyDescent="0.25">
      <c r="A29" s="59" t="s">
        <v>680</v>
      </c>
      <c r="B29" s="352"/>
      <c r="C29" s="353"/>
      <c r="D29" s="354"/>
      <c r="E29" s="353"/>
      <c r="F29" s="355"/>
      <c r="G29" s="353"/>
      <c r="H29" s="356"/>
      <c r="I29" s="357"/>
      <c r="J29" s="358"/>
      <c r="K29" s="359"/>
      <c r="L29" s="354"/>
      <c r="M29" s="356"/>
      <c r="N29" s="355"/>
      <c r="O29" s="355"/>
      <c r="P29" s="59" t="s">
        <v>680</v>
      </c>
      <c r="Q29" s="355"/>
      <c r="R29" s="355"/>
      <c r="S29" s="355"/>
      <c r="T29" s="355"/>
      <c r="U29" s="355"/>
      <c r="V29" s="355"/>
      <c r="W29" s="355"/>
      <c r="X29" s="355"/>
      <c r="Y29" s="355"/>
      <c r="Z29" s="355"/>
      <c r="AA29" s="355"/>
      <c r="AB29" s="354"/>
      <c r="AC29" s="356"/>
      <c r="AD29" s="356"/>
      <c r="AE29" s="356"/>
      <c r="AF29" s="356"/>
      <c r="AG29" s="356"/>
      <c r="AH29" s="356"/>
      <c r="AI29" s="356"/>
      <c r="AJ29" s="356"/>
      <c r="AK29" s="356"/>
      <c r="AL29" s="356"/>
      <c r="AM29" s="59" t="s">
        <v>680</v>
      </c>
      <c r="AN29" s="355"/>
      <c r="AO29" s="354"/>
      <c r="AP29" s="354"/>
      <c r="AQ29" s="355"/>
      <c r="AR29" s="354"/>
      <c r="AS29" s="356"/>
      <c r="AT29" s="348"/>
      <c r="AU29" s="348"/>
      <c r="AV29" s="348"/>
      <c r="AW29" s="348"/>
      <c r="AX29" s="348"/>
      <c r="AY29" s="59" t="s">
        <v>680</v>
      </c>
      <c r="AZ29" s="348"/>
      <c r="BA29" s="355"/>
      <c r="BB29" s="355"/>
      <c r="BC29" s="355"/>
      <c r="BD29" s="355"/>
      <c r="BE29" s="355"/>
      <c r="BF29" s="355"/>
      <c r="BG29" s="360"/>
      <c r="BH29" s="360"/>
      <c r="BI29" s="360"/>
      <c r="BJ29" s="1386"/>
      <c r="BK29" s="59" t="s">
        <v>680</v>
      </c>
      <c r="BL29" s="1391"/>
      <c r="BM29" s="1538"/>
      <c r="BN29" s="356"/>
      <c r="BO29" s="348"/>
      <c r="BP29" s="1331"/>
      <c r="BQ29" s="360"/>
      <c r="BR29" s="361"/>
      <c r="BS29" s="360"/>
      <c r="BT29" s="360"/>
      <c r="BU29" s="360"/>
      <c r="BV29" s="360"/>
      <c r="BW29" s="360"/>
      <c r="BX29" s="360"/>
      <c r="BY29" s="362"/>
      <c r="BZ29" s="360"/>
      <c r="CA29" s="362"/>
      <c r="CB29" s="362"/>
      <c r="CC29" s="362"/>
      <c r="CD29" s="362"/>
      <c r="CE29" s="362"/>
    </row>
    <row r="30" spans="1:83" ht="12.5" x14ac:dyDescent="0.25">
      <c r="A30" s="368" t="s">
        <v>681</v>
      </c>
      <c r="B30" s="364"/>
      <c r="C30" s="162"/>
      <c r="D30" s="161"/>
      <c r="E30" s="162"/>
      <c r="F30" s="247"/>
      <c r="G30" s="162"/>
      <c r="H30" s="163"/>
      <c r="I30" s="365"/>
      <c r="J30" s="366"/>
      <c r="K30" s="367"/>
      <c r="L30" s="161"/>
      <c r="M30" s="163"/>
      <c r="N30" s="247"/>
      <c r="O30" s="247"/>
      <c r="P30" s="368" t="s">
        <v>681</v>
      </c>
      <c r="Q30" s="247"/>
      <c r="R30" s="247"/>
      <c r="S30" s="247"/>
      <c r="T30" s="247"/>
      <c r="U30" s="247"/>
      <c r="V30" s="247"/>
      <c r="W30" s="247"/>
      <c r="X30" s="247"/>
      <c r="Y30" s="247"/>
      <c r="Z30" s="247"/>
      <c r="AA30" s="247"/>
      <c r="AB30" s="161"/>
      <c r="AC30" s="163"/>
      <c r="AD30" s="163"/>
      <c r="AE30" s="163"/>
      <c r="AF30" s="163"/>
      <c r="AG30" s="163"/>
      <c r="AH30" s="163"/>
      <c r="AI30" s="163"/>
      <c r="AJ30" s="163"/>
      <c r="AK30" s="163"/>
      <c r="AL30" s="163"/>
      <c r="AM30" s="368" t="s">
        <v>681</v>
      </c>
      <c r="AN30" s="247"/>
      <c r="AO30" s="161"/>
      <c r="AP30" s="161"/>
      <c r="AQ30" s="247"/>
      <c r="AR30" s="161"/>
      <c r="AS30" s="163"/>
      <c r="AT30" s="247"/>
      <c r="AU30" s="247"/>
      <c r="AV30" s="247"/>
      <c r="AW30" s="247"/>
      <c r="AX30" s="247"/>
      <c r="AY30" s="368" t="s">
        <v>681</v>
      </c>
      <c r="AZ30" s="247"/>
      <c r="BA30" s="247"/>
      <c r="BB30" s="247"/>
      <c r="BC30" s="247"/>
      <c r="BD30" s="247"/>
      <c r="BE30" s="247"/>
      <c r="BF30" s="247"/>
      <c r="BG30" s="58"/>
      <c r="BH30" s="58"/>
      <c r="BI30" s="58"/>
      <c r="BJ30" s="159"/>
      <c r="BK30" s="368" t="s">
        <v>681</v>
      </c>
      <c r="BL30" s="958"/>
      <c r="BM30" s="1539"/>
      <c r="BN30" s="163"/>
      <c r="BO30" s="247"/>
      <c r="BP30" s="162"/>
      <c r="BQ30" s="58"/>
      <c r="BR30" s="159"/>
      <c r="BS30" s="58"/>
      <c r="BT30" s="58"/>
      <c r="BU30" s="58"/>
      <c r="BV30" s="58"/>
      <c r="BW30" s="58"/>
      <c r="BX30" s="58"/>
      <c r="BY30" s="58"/>
      <c r="BZ30" s="58"/>
      <c r="CA30" s="58"/>
      <c r="CB30" s="58"/>
      <c r="CC30" s="58"/>
      <c r="CD30" s="58"/>
      <c r="CE30" s="58"/>
    </row>
    <row r="31" spans="1:83" ht="12.5" x14ac:dyDescent="0.25">
      <c r="A31" s="62">
        <v>3</v>
      </c>
      <c r="B31" s="370"/>
      <c r="C31" s="338"/>
      <c r="D31" s="371"/>
      <c r="E31" s="338"/>
      <c r="F31" s="372"/>
      <c r="G31" s="338"/>
      <c r="H31" s="339"/>
      <c r="I31" s="373"/>
      <c r="J31" s="374"/>
      <c r="K31" s="375"/>
      <c r="L31" s="371"/>
      <c r="M31" s="339"/>
      <c r="N31" s="372"/>
      <c r="O31" s="372"/>
      <c r="P31" s="62">
        <v>3</v>
      </c>
      <c r="Q31" s="372"/>
      <c r="R31" s="372"/>
      <c r="S31" s="372"/>
      <c r="T31" s="372"/>
      <c r="U31" s="372"/>
      <c r="V31" s="372"/>
      <c r="W31" s="372"/>
      <c r="X31" s="372"/>
      <c r="Y31" s="372"/>
      <c r="Z31" s="372"/>
      <c r="AA31" s="372"/>
      <c r="AB31" s="371"/>
      <c r="AC31" s="339"/>
      <c r="AD31" s="339"/>
      <c r="AE31" s="339"/>
      <c r="AF31" s="339"/>
      <c r="AG31" s="339"/>
      <c r="AH31" s="339"/>
      <c r="AI31" s="339"/>
      <c r="AJ31" s="339"/>
      <c r="AK31" s="339"/>
      <c r="AL31" s="339"/>
      <c r="AM31" s="62">
        <v>3</v>
      </c>
      <c r="AN31" s="372"/>
      <c r="AO31" s="371"/>
      <c r="AP31" s="371"/>
      <c r="AQ31" s="372"/>
      <c r="AR31" s="371"/>
      <c r="AS31" s="339"/>
      <c r="AT31" s="372"/>
      <c r="AU31" s="372"/>
      <c r="AV31" s="372"/>
      <c r="AW31" s="372"/>
      <c r="AX31" s="372"/>
      <c r="AY31" s="62">
        <v>3</v>
      </c>
      <c r="AZ31" s="372"/>
      <c r="BA31" s="372"/>
      <c r="BB31" s="372"/>
      <c r="BC31" s="372"/>
      <c r="BD31" s="372"/>
      <c r="BE31" s="372"/>
      <c r="BF31" s="372"/>
      <c r="BG31" s="376"/>
      <c r="BH31" s="376"/>
      <c r="BI31" s="376"/>
      <c r="BJ31" s="152"/>
      <c r="BK31" s="62">
        <v>3</v>
      </c>
      <c r="BL31" s="1392"/>
      <c r="BM31" s="1540"/>
      <c r="BN31" s="339"/>
      <c r="BO31" s="372"/>
      <c r="BP31" s="338"/>
      <c r="BQ31" s="376"/>
      <c r="BR31" s="152"/>
      <c r="BS31" s="376"/>
      <c r="BT31" s="376"/>
      <c r="BU31" s="376"/>
      <c r="BV31" s="376"/>
      <c r="BW31" s="376"/>
      <c r="BX31" s="376"/>
      <c r="BY31" s="376"/>
      <c r="BZ31" s="376"/>
      <c r="CA31" s="376"/>
      <c r="CB31" s="376"/>
      <c r="CC31" s="376"/>
      <c r="CD31" s="376"/>
      <c r="CE31" s="376"/>
    </row>
    <row r="32" spans="1:83" ht="12.5" x14ac:dyDescent="0.25">
      <c r="A32" s="61">
        <v>4</v>
      </c>
      <c r="B32" s="377"/>
      <c r="C32" s="173"/>
      <c r="D32" s="172"/>
      <c r="E32" s="173"/>
      <c r="F32" s="363"/>
      <c r="G32" s="173"/>
      <c r="H32" s="175"/>
      <c r="I32" s="378"/>
      <c r="J32" s="379"/>
      <c r="K32" s="380"/>
      <c r="L32" s="172"/>
      <c r="M32" s="175"/>
      <c r="N32" s="363"/>
      <c r="O32" s="363"/>
      <c r="P32" s="61">
        <v>4</v>
      </c>
      <c r="Q32" s="363"/>
      <c r="R32" s="363"/>
      <c r="S32" s="363"/>
      <c r="T32" s="363"/>
      <c r="U32" s="363"/>
      <c r="V32" s="363"/>
      <c r="W32" s="363"/>
      <c r="X32" s="363"/>
      <c r="Y32" s="363"/>
      <c r="Z32" s="363"/>
      <c r="AA32" s="363"/>
      <c r="AB32" s="172"/>
      <c r="AC32" s="175"/>
      <c r="AD32" s="175"/>
      <c r="AE32" s="175"/>
      <c r="AF32" s="175"/>
      <c r="AG32" s="175"/>
      <c r="AH32" s="175"/>
      <c r="AI32" s="175"/>
      <c r="AJ32" s="175"/>
      <c r="AK32" s="175"/>
      <c r="AL32" s="175"/>
      <c r="AM32" s="61">
        <v>4</v>
      </c>
      <c r="AN32" s="363"/>
      <c r="AO32" s="172"/>
      <c r="AP32" s="172"/>
      <c r="AQ32" s="363"/>
      <c r="AR32" s="172"/>
      <c r="AS32" s="175"/>
      <c r="AT32" s="363"/>
      <c r="AU32" s="363"/>
      <c r="AV32" s="363"/>
      <c r="AW32" s="363"/>
      <c r="AX32" s="363"/>
      <c r="AY32" s="61">
        <v>4</v>
      </c>
      <c r="AZ32" s="363"/>
      <c r="BA32" s="363"/>
      <c r="BB32" s="363"/>
      <c r="BC32" s="363"/>
      <c r="BD32" s="363"/>
      <c r="BE32" s="363"/>
      <c r="BF32" s="363"/>
      <c r="BG32" s="381"/>
      <c r="BH32" s="381"/>
      <c r="BI32" s="381"/>
      <c r="BJ32" s="171"/>
      <c r="BK32" s="61">
        <v>4</v>
      </c>
      <c r="BL32" s="1393"/>
      <c r="BM32" s="1541"/>
      <c r="BN32" s="175"/>
      <c r="BO32" s="363"/>
      <c r="BP32" s="173"/>
      <c r="BQ32" s="381"/>
      <c r="BR32" s="171"/>
      <c r="BS32" s="381"/>
      <c r="BT32" s="381"/>
      <c r="BU32" s="381"/>
      <c r="BV32" s="381"/>
      <c r="BW32" s="381"/>
      <c r="BX32" s="381"/>
      <c r="BY32" s="381"/>
      <c r="BZ32" s="381"/>
      <c r="CA32" s="381"/>
      <c r="CB32" s="381"/>
      <c r="CC32" s="381"/>
      <c r="CD32" s="381"/>
      <c r="CE32" s="381"/>
    </row>
    <row r="33" spans="1:83" ht="12.5" x14ac:dyDescent="0.25">
      <c r="A33" s="390">
        <v>5</v>
      </c>
      <c r="B33" s="382"/>
      <c r="C33" s="383"/>
      <c r="D33" s="384"/>
      <c r="E33" s="383"/>
      <c r="F33" s="385"/>
      <c r="G33" s="383"/>
      <c r="H33" s="386"/>
      <c r="I33" s="387"/>
      <c r="J33" s="388"/>
      <c r="K33" s="389"/>
      <c r="L33" s="384"/>
      <c r="M33" s="386"/>
      <c r="N33" s="385"/>
      <c r="O33" s="385"/>
      <c r="P33" s="390">
        <v>5</v>
      </c>
      <c r="Q33" s="385"/>
      <c r="R33" s="385"/>
      <c r="S33" s="385"/>
      <c r="T33" s="385"/>
      <c r="U33" s="385"/>
      <c r="V33" s="385"/>
      <c r="W33" s="385"/>
      <c r="X33" s="385"/>
      <c r="Y33" s="385"/>
      <c r="Z33" s="385"/>
      <c r="AA33" s="385"/>
      <c r="AB33" s="384"/>
      <c r="AC33" s="386"/>
      <c r="AD33" s="386"/>
      <c r="AE33" s="386"/>
      <c r="AF33" s="386"/>
      <c r="AG33" s="386"/>
      <c r="AH33" s="386"/>
      <c r="AI33" s="386"/>
      <c r="AJ33" s="386"/>
      <c r="AK33" s="386"/>
      <c r="AL33" s="386"/>
      <c r="AM33" s="390">
        <v>5</v>
      </c>
      <c r="AN33" s="385"/>
      <c r="AO33" s="384"/>
      <c r="AP33" s="384"/>
      <c r="AQ33" s="385"/>
      <c r="AR33" s="384"/>
      <c r="AS33" s="386"/>
      <c r="AT33" s="385"/>
      <c r="AU33" s="385"/>
      <c r="AV33" s="385"/>
      <c r="AW33" s="385"/>
      <c r="AX33" s="385"/>
      <c r="AY33" s="390">
        <v>5</v>
      </c>
      <c r="AZ33" s="385"/>
      <c r="BA33" s="385"/>
      <c r="BB33" s="385"/>
      <c r="BC33" s="385"/>
      <c r="BD33" s="385"/>
      <c r="BE33" s="385"/>
      <c r="BF33" s="385"/>
      <c r="BG33" s="392"/>
      <c r="BH33" s="392"/>
      <c r="BI33" s="392"/>
      <c r="BJ33" s="391"/>
      <c r="BK33" s="390">
        <v>5</v>
      </c>
      <c r="BL33" s="1394"/>
      <c r="BM33" s="1542"/>
      <c r="BN33" s="386"/>
      <c r="BO33" s="385"/>
      <c r="BP33" s="383"/>
      <c r="BQ33" s="392"/>
      <c r="BR33" s="391"/>
      <c r="BS33" s="392"/>
      <c r="BT33" s="392"/>
      <c r="BU33" s="392"/>
      <c r="BV33" s="392"/>
      <c r="BW33" s="392"/>
      <c r="BX33" s="392"/>
      <c r="BY33" s="392"/>
      <c r="BZ33" s="392"/>
      <c r="CA33" s="392"/>
      <c r="CB33" s="392"/>
      <c r="CC33" s="392"/>
      <c r="CD33" s="392"/>
      <c r="CE33" s="392"/>
    </row>
    <row r="34" spans="1:83" ht="12.5" x14ac:dyDescent="0.25">
      <c r="A34" s="393">
        <v>6</v>
      </c>
      <c r="B34" s="305"/>
      <c r="C34" s="162"/>
      <c r="D34" s="161"/>
      <c r="E34" s="162"/>
      <c r="F34" s="247"/>
      <c r="G34" s="162"/>
      <c r="H34" s="163"/>
      <c r="I34" s="365"/>
      <c r="J34" s="366"/>
      <c r="K34" s="367"/>
      <c r="L34" s="161"/>
      <c r="M34" s="163"/>
      <c r="N34" s="247"/>
      <c r="O34" s="247"/>
      <c r="P34" s="393">
        <v>6</v>
      </c>
      <c r="Q34" s="247"/>
      <c r="R34" s="247"/>
      <c r="S34" s="247"/>
      <c r="T34" s="247"/>
      <c r="U34" s="247"/>
      <c r="V34" s="247"/>
      <c r="W34" s="247"/>
      <c r="X34" s="247"/>
      <c r="Y34" s="247"/>
      <c r="Z34" s="247"/>
      <c r="AA34" s="247"/>
      <c r="AB34" s="161"/>
      <c r="AC34" s="163"/>
      <c r="AD34" s="163"/>
      <c r="AE34" s="163"/>
      <c r="AF34" s="163"/>
      <c r="AG34" s="163"/>
      <c r="AH34" s="163"/>
      <c r="AI34" s="163"/>
      <c r="AJ34" s="163"/>
      <c r="AK34" s="163"/>
      <c r="AL34" s="163"/>
      <c r="AM34" s="393">
        <v>6</v>
      </c>
      <c r="AN34" s="247"/>
      <c r="AO34" s="161"/>
      <c r="AP34" s="161"/>
      <c r="AQ34" s="247"/>
      <c r="AR34" s="161"/>
      <c r="AS34" s="163"/>
      <c r="AT34" s="247"/>
      <c r="AU34" s="247"/>
      <c r="AV34" s="247"/>
      <c r="AW34" s="247"/>
      <c r="AX34" s="247"/>
      <c r="AY34" s="393">
        <v>6</v>
      </c>
      <c r="AZ34" s="247"/>
      <c r="BA34" s="247"/>
      <c r="BB34" s="247"/>
      <c r="BC34" s="247"/>
      <c r="BD34" s="247"/>
      <c r="BE34" s="247"/>
      <c r="BF34" s="247"/>
      <c r="BG34" s="58"/>
      <c r="BH34" s="58"/>
      <c r="BI34" s="58"/>
      <c r="BJ34" s="159"/>
      <c r="BK34" s="393">
        <v>6</v>
      </c>
      <c r="BL34" s="958"/>
      <c r="BM34" s="1539"/>
      <c r="BN34" s="163"/>
      <c r="BO34" s="252"/>
      <c r="BP34" s="162"/>
      <c r="BQ34" s="58"/>
      <c r="BR34" s="159"/>
      <c r="BS34" s="58"/>
      <c r="BT34" s="58"/>
      <c r="BU34" s="58"/>
      <c r="BV34" s="58"/>
      <c r="BW34" s="58"/>
      <c r="BX34" s="58"/>
      <c r="BY34" s="58"/>
      <c r="BZ34" s="58"/>
      <c r="CA34" s="58"/>
      <c r="CB34" s="58"/>
      <c r="CC34" s="58"/>
      <c r="CD34" s="58"/>
      <c r="CE34" s="58"/>
    </row>
    <row r="35" spans="1:83" ht="12.5" x14ac:dyDescent="0.25">
      <c r="A35" s="64">
        <v>7</v>
      </c>
      <c r="B35" s="282"/>
      <c r="C35" s="338"/>
      <c r="D35" s="371"/>
      <c r="E35" s="338"/>
      <c r="F35" s="372"/>
      <c r="G35" s="338"/>
      <c r="H35" s="339"/>
      <c r="I35" s="373"/>
      <c r="J35" s="374"/>
      <c r="K35" s="375"/>
      <c r="L35" s="371"/>
      <c r="M35" s="339"/>
      <c r="N35" s="372"/>
      <c r="O35" s="372"/>
      <c r="P35" s="64">
        <v>7</v>
      </c>
      <c r="Q35" s="372"/>
      <c r="R35" s="372"/>
      <c r="S35" s="372"/>
      <c r="T35" s="372"/>
      <c r="U35" s="372"/>
      <c r="V35" s="372"/>
      <c r="W35" s="372"/>
      <c r="X35" s="372"/>
      <c r="Y35" s="372"/>
      <c r="Z35" s="372"/>
      <c r="AA35" s="372"/>
      <c r="AB35" s="371"/>
      <c r="AC35" s="339"/>
      <c r="AD35" s="339"/>
      <c r="AE35" s="339"/>
      <c r="AF35" s="339"/>
      <c r="AG35" s="339"/>
      <c r="AH35" s="339"/>
      <c r="AI35" s="339"/>
      <c r="AJ35" s="339"/>
      <c r="AK35" s="339"/>
      <c r="AL35" s="339"/>
      <c r="AM35" s="64">
        <v>7</v>
      </c>
      <c r="AN35" s="372"/>
      <c r="AO35" s="371"/>
      <c r="AP35" s="371"/>
      <c r="AQ35" s="372"/>
      <c r="AR35" s="371"/>
      <c r="AS35" s="339"/>
      <c r="AT35" s="372"/>
      <c r="AU35" s="372"/>
      <c r="AV35" s="372"/>
      <c r="AW35" s="372"/>
      <c r="AX35" s="372"/>
      <c r="AY35" s="64">
        <v>7</v>
      </c>
      <c r="AZ35" s="372"/>
      <c r="BA35" s="372"/>
      <c r="BB35" s="372"/>
      <c r="BC35" s="372"/>
      <c r="BD35" s="372"/>
      <c r="BE35" s="372"/>
      <c r="BF35" s="372"/>
      <c r="BG35" s="376"/>
      <c r="BH35" s="376"/>
      <c r="BI35" s="376"/>
      <c r="BJ35" s="152"/>
      <c r="BK35" s="64">
        <v>7</v>
      </c>
      <c r="BL35" s="1392"/>
      <c r="BM35" s="1540"/>
      <c r="BN35" s="339"/>
      <c r="BO35" s="372"/>
      <c r="BP35" s="338"/>
      <c r="BQ35" s="376"/>
      <c r="BR35" s="152"/>
      <c r="BS35" s="376"/>
      <c r="BT35" s="376"/>
      <c r="BU35" s="376"/>
      <c r="BV35" s="376"/>
      <c r="BW35" s="376"/>
      <c r="BX35" s="376"/>
      <c r="BY35" s="376"/>
      <c r="BZ35" s="376"/>
      <c r="CA35" s="376"/>
      <c r="CB35" s="376"/>
      <c r="CC35" s="376"/>
      <c r="CD35" s="376"/>
      <c r="CE35" s="376"/>
    </row>
    <row r="36" spans="1:83" ht="12.5" x14ac:dyDescent="0.25">
      <c r="A36" s="65">
        <v>8</v>
      </c>
      <c r="B36" s="282"/>
      <c r="C36" s="338"/>
      <c r="D36" s="371"/>
      <c r="E36" s="338"/>
      <c r="F36" s="372"/>
      <c r="G36" s="338"/>
      <c r="H36" s="339"/>
      <c r="I36" s="373"/>
      <c r="J36" s="374"/>
      <c r="K36" s="375"/>
      <c r="L36" s="371"/>
      <c r="M36" s="339"/>
      <c r="N36" s="372"/>
      <c r="O36" s="372"/>
      <c r="P36" s="65">
        <v>8</v>
      </c>
      <c r="Q36" s="372"/>
      <c r="R36" s="372"/>
      <c r="S36" s="372"/>
      <c r="T36" s="372"/>
      <c r="U36" s="372"/>
      <c r="V36" s="372"/>
      <c r="W36" s="372"/>
      <c r="X36" s="372"/>
      <c r="Y36" s="372"/>
      <c r="Z36" s="372"/>
      <c r="AA36" s="372"/>
      <c r="AB36" s="371"/>
      <c r="AC36" s="339"/>
      <c r="AD36" s="339"/>
      <c r="AE36" s="339"/>
      <c r="AF36" s="339"/>
      <c r="AG36" s="339"/>
      <c r="AH36" s="339"/>
      <c r="AI36" s="339"/>
      <c r="AJ36" s="339"/>
      <c r="AK36" s="339"/>
      <c r="AL36" s="339"/>
      <c r="AM36" s="65">
        <v>8</v>
      </c>
      <c r="AN36" s="372"/>
      <c r="AO36" s="371"/>
      <c r="AP36" s="371"/>
      <c r="AQ36" s="372"/>
      <c r="AR36" s="371"/>
      <c r="AS36" s="339"/>
      <c r="AT36" s="372"/>
      <c r="AU36" s="372"/>
      <c r="AV36" s="372"/>
      <c r="AW36" s="372"/>
      <c r="AX36" s="372"/>
      <c r="AY36" s="65">
        <v>8</v>
      </c>
      <c r="AZ36" s="372"/>
      <c r="BA36" s="372"/>
      <c r="BB36" s="372"/>
      <c r="BC36" s="372"/>
      <c r="BD36" s="372"/>
      <c r="BE36" s="372"/>
      <c r="BF36" s="372"/>
      <c r="BG36" s="376"/>
      <c r="BH36" s="376"/>
      <c r="BI36" s="376"/>
      <c r="BJ36" s="152"/>
      <c r="BK36" s="65">
        <v>8</v>
      </c>
      <c r="BL36" s="1392"/>
      <c r="BM36" s="1540"/>
      <c r="BN36" s="339"/>
      <c r="BO36" s="372"/>
      <c r="BP36" s="338"/>
      <c r="BQ36" s="376"/>
      <c r="BR36" s="152"/>
      <c r="BS36" s="376"/>
      <c r="BT36" s="376"/>
      <c r="BU36" s="376"/>
      <c r="BV36" s="376"/>
      <c r="BW36" s="376"/>
      <c r="BX36" s="376"/>
      <c r="BY36" s="376"/>
      <c r="BZ36" s="376"/>
      <c r="CA36" s="376"/>
      <c r="CB36" s="376"/>
      <c r="CC36" s="376"/>
      <c r="CD36" s="376"/>
      <c r="CE36" s="376"/>
    </row>
    <row r="37" spans="1:83" ht="12.5" x14ac:dyDescent="0.25">
      <c r="A37" s="65">
        <v>9</v>
      </c>
      <c r="B37" s="394"/>
      <c r="C37" s="173"/>
      <c r="D37" s="172"/>
      <c r="E37" s="173"/>
      <c r="F37" s="363"/>
      <c r="G37" s="173"/>
      <c r="H37" s="175"/>
      <c r="I37" s="378"/>
      <c r="J37" s="379"/>
      <c r="K37" s="380"/>
      <c r="L37" s="172"/>
      <c r="M37" s="175"/>
      <c r="N37" s="363"/>
      <c r="O37" s="363"/>
      <c r="P37" s="64">
        <v>9</v>
      </c>
      <c r="Q37" s="363"/>
      <c r="R37" s="363"/>
      <c r="S37" s="363"/>
      <c r="T37" s="363"/>
      <c r="U37" s="363"/>
      <c r="V37" s="363"/>
      <c r="W37" s="363"/>
      <c r="X37" s="363"/>
      <c r="Y37" s="363"/>
      <c r="Z37" s="363"/>
      <c r="AA37" s="363"/>
      <c r="AB37" s="172"/>
      <c r="AC37" s="175"/>
      <c r="AD37" s="175"/>
      <c r="AE37" s="175"/>
      <c r="AF37" s="175"/>
      <c r="AG37" s="175"/>
      <c r="AH37" s="175"/>
      <c r="AI37" s="175"/>
      <c r="AJ37" s="175"/>
      <c r="AK37" s="175"/>
      <c r="AL37" s="175"/>
      <c r="AM37" s="64">
        <v>9</v>
      </c>
      <c r="AN37" s="363"/>
      <c r="AO37" s="172"/>
      <c r="AP37" s="172"/>
      <c r="AQ37" s="363"/>
      <c r="AR37" s="172"/>
      <c r="AS37" s="175"/>
      <c r="AT37" s="363"/>
      <c r="AU37" s="363"/>
      <c r="AV37" s="363"/>
      <c r="AW37" s="363"/>
      <c r="AX37" s="363"/>
      <c r="AY37" s="64">
        <v>9</v>
      </c>
      <c r="AZ37" s="363"/>
      <c r="BA37" s="363"/>
      <c r="BB37" s="363"/>
      <c r="BC37" s="363"/>
      <c r="BD37" s="363"/>
      <c r="BE37" s="363"/>
      <c r="BF37" s="363"/>
      <c r="BG37" s="381"/>
      <c r="BH37" s="381"/>
      <c r="BI37" s="381"/>
      <c r="BJ37" s="171"/>
      <c r="BK37" s="64">
        <v>9</v>
      </c>
      <c r="BL37" s="1393"/>
      <c r="BM37" s="1541"/>
      <c r="BN37" s="175"/>
      <c r="BO37" s="363"/>
      <c r="BP37" s="173"/>
      <c r="BQ37" s="381"/>
      <c r="BR37" s="171"/>
      <c r="BS37" s="381"/>
      <c r="BT37" s="381"/>
      <c r="BU37" s="381"/>
      <c r="BV37" s="381"/>
      <c r="BW37" s="381"/>
      <c r="BX37" s="381"/>
      <c r="BY37" s="381"/>
      <c r="BZ37" s="381"/>
      <c r="CA37" s="381"/>
      <c r="CB37" s="381"/>
      <c r="CC37" s="381"/>
      <c r="CD37" s="381"/>
      <c r="CE37" s="381"/>
    </row>
    <row r="38" spans="1:83" ht="12.5" x14ac:dyDescent="0.25">
      <c r="A38" s="396">
        <v>10</v>
      </c>
      <c r="B38" s="395"/>
      <c r="C38" s="383"/>
      <c r="D38" s="384"/>
      <c r="E38" s="383"/>
      <c r="F38" s="385"/>
      <c r="G38" s="383"/>
      <c r="H38" s="386"/>
      <c r="I38" s="387"/>
      <c r="J38" s="388"/>
      <c r="K38" s="389"/>
      <c r="L38" s="384"/>
      <c r="M38" s="386"/>
      <c r="N38" s="385"/>
      <c r="O38" s="385"/>
      <c r="P38" s="396">
        <v>10</v>
      </c>
      <c r="Q38" s="385"/>
      <c r="R38" s="385"/>
      <c r="S38" s="385"/>
      <c r="T38" s="385"/>
      <c r="U38" s="385"/>
      <c r="V38" s="385"/>
      <c r="W38" s="385"/>
      <c r="X38" s="385"/>
      <c r="Y38" s="385"/>
      <c r="Z38" s="385"/>
      <c r="AA38" s="385"/>
      <c r="AB38" s="384"/>
      <c r="AC38" s="386"/>
      <c r="AD38" s="386"/>
      <c r="AE38" s="386"/>
      <c r="AF38" s="386"/>
      <c r="AG38" s="386"/>
      <c r="AH38" s="386"/>
      <c r="AI38" s="386"/>
      <c r="AJ38" s="386"/>
      <c r="AK38" s="386"/>
      <c r="AL38" s="386"/>
      <c r="AM38" s="396">
        <v>10</v>
      </c>
      <c r="AN38" s="385"/>
      <c r="AO38" s="384"/>
      <c r="AP38" s="384"/>
      <c r="AQ38" s="385"/>
      <c r="AR38" s="384"/>
      <c r="AS38" s="386"/>
      <c r="AT38" s="385"/>
      <c r="AU38" s="385"/>
      <c r="AV38" s="385"/>
      <c r="AW38" s="385"/>
      <c r="AX38" s="385"/>
      <c r="AY38" s="396">
        <v>10</v>
      </c>
      <c r="AZ38" s="385"/>
      <c r="BA38" s="385"/>
      <c r="BB38" s="385"/>
      <c r="BC38" s="385"/>
      <c r="BD38" s="385"/>
      <c r="BE38" s="385"/>
      <c r="BF38" s="385"/>
      <c r="BG38" s="392"/>
      <c r="BH38" s="392"/>
      <c r="BI38" s="392"/>
      <c r="BJ38" s="391"/>
      <c r="BK38" s="396">
        <v>10</v>
      </c>
      <c r="BL38" s="1394"/>
      <c r="BM38" s="1542"/>
      <c r="BN38" s="386"/>
      <c r="BO38" s="385"/>
      <c r="BP38" s="383"/>
      <c r="BQ38" s="392"/>
      <c r="BR38" s="391"/>
      <c r="BS38" s="392"/>
      <c r="BT38" s="392"/>
      <c r="BU38" s="392"/>
      <c r="BV38" s="392"/>
      <c r="BW38" s="392"/>
      <c r="BX38" s="392"/>
      <c r="BY38" s="392"/>
      <c r="BZ38" s="392"/>
      <c r="CA38" s="392"/>
      <c r="CB38" s="392"/>
      <c r="CC38" s="392"/>
      <c r="CD38" s="392"/>
      <c r="CE38" s="392"/>
    </row>
    <row r="39" spans="1:83" ht="12.5" x14ac:dyDescent="0.25">
      <c r="A39" s="368">
        <v>11</v>
      </c>
      <c r="B39" s="364"/>
      <c r="C39" s="162"/>
      <c r="D39" s="161"/>
      <c r="E39" s="162"/>
      <c r="F39" s="247"/>
      <c r="G39" s="162"/>
      <c r="H39" s="163"/>
      <c r="I39" s="365"/>
      <c r="J39" s="366"/>
      <c r="K39" s="367"/>
      <c r="L39" s="161"/>
      <c r="M39" s="163"/>
      <c r="N39" s="247"/>
      <c r="O39" s="247"/>
      <c r="P39" s="368">
        <v>11</v>
      </c>
      <c r="Q39" s="247"/>
      <c r="R39" s="247"/>
      <c r="S39" s="247"/>
      <c r="T39" s="247"/>
      <c r="U39" s="247"/>
      <c r="V39" s="247"/>
      <c r="W39" s="247"/>
      <c r="X39" s="247"/>
      <c r="Y39" s="247"/>
      <c r="Z39" s="247"/>
      <c r="AA39" s="247"/>
      <c r="AB39" s="161"/>
      <c r="AC39" s="163"/>
      <c r="AD39" s="163"/>
      <c r="AE39" s="163"/>
      <c r="AF39" s="163"/>
      <c r="AG39" s="163"/>
      <c r="AH39" s="163"/>
      <c r="AI39" s="163"/>
      <c r="AJ39" s="163"/>
      <c r="AK39" s="163"/>
      <c r="AL39" s="163"/>
      <c r="AM39" s="368">
        <v>11</v>
      </c>
      <c r="AN39" s="247"/>
      <c r="AO39" s="161"/>
      <c r="AP39" s="161"/>
      <c r="AQ39" s="247"/>
      <c r="AR39" s="161"/>
      <c r="AS39" s="163"/>
      <c r="AT39" s="247"/>
      <c r="AU39" s="247"/>
      <c r="AV39" s="247"/>
      <c r="AW39" s="247"/>
      <c r="AX39" s="247"/>
      <c r="AY39" s="368">
        <v>11</v>
      </c>
      <c r="AZ39" s="247"/>
      <c r="BA39" s="247"/>
      <c r="BB39" s="247"/>
      <c r="BC39" s="247"/>
      <c r="BD39" s="247"/>
      <c r="BE39" s="247"/>
      <c r="BF39" s="247"/>
      <c r="BG39" s="58"/>
      <c r="BH39" s="58"/>
      <c r="BI39" s="58"/>
      <c r="BJ39" s="159"/>
      <c r="BK39" s="368">
        <v>11</v>
      </c>
      <c r="BL39" s="958"/>
      <c r="BM39" s="1539"/>
      <c r="BN39" s="163"/>
      <c r="BO39" s="247"/>
      <c r="BP39" s="162"/>
      <c r="BQ39" s="58"/>
      <c r="BR39" s="159"/>
      <c r="BS39" s="58"/>
      <c r="BT39" s="58"/>
      <c r="BU39" s="58"/>
      <c r="BV39" s="58"/>
      <c r="BW39" s="58"/>
      <c r="BX39" s="58"/>
      <c r="BY39" s="58"/>
      <c r="BZ39" s="58"/>
      <c r="CA39" s="58"/>
      <c r="CB39" s="58"/>
      <c r="CC39" s="58"/>
      <c r="CD39" s="58"/>
      <c r="CE39" s="58"/>
    </row>
    <row r="40" spans="1:83" ht="12.5" x14ac:dyDescent="0.25">
      <c r="A40" s="62">
        <v>12</v>
      </c>
      <c r="B40" s="370"/>
      <c r="C40" s="338"/>
      <c r="D40" s="371"/>
      <c r="E40" s="338"/>
      <c r="F40" s="372"/>
      <c r="G40" s="338"/>
      <c r="H40" s="339"/>
      <c r="I40" s="373"/>
      <c r="J40" s="374"/>
      <c r="K40" s="375"/>
      <c r="L40" s="371"/>
      <c r="M40" s="339"/>
      <c r="N40" s="372"/>
      <c r="O40" s="372"/>
      <c r="P40" s="62">
        <v>12</v>
      </c>
      <c r="Q40" s="372"/>
      <c r="R40" s="372"/>
      <c r="S40" s="372"/>
      <c r="T40" s="372"/>
      <c r="U40" s="372"/>
      <c r="V40" s="372"/>
      <c r="W40" s="372"/>
      <c r="X40" s="372"/>
      <c r="Y40" s="372"/>
      <c r="Z40" s="372"/>
      <c r="AA40" s="372"/>
      <c r="AB40" s="371"/>
      <c r="AC40" s="339"/>
      <c r="AD40" s="339"/>
      <c r="AE40" s="339"/>
      <c r="AF40" s="339"/>
      <c r="AG40" s="339"/>
      <c r="AH40" s="339"/>
      <c r="AI40" s="339"/>
      <c r="AJ40" s="339"/>
      <c r="AK40" s="339"/>
      <c r="AL40" s="339"/>
      <c r="AM40" s="62">
        <v>12</v>
      </c>
      <c r="AN40" s="372"/>
      <c r="AO40" s="371"/>
      <c r="AP40" s="371"/>
      <c r="AQ40" s="372"/>
      <c r="AR40" s="371"/>
      <c r="AS40" s="339"/>
      <c r="AT40" s="372"/>
      <c r="AU40" s="372"/>
      <c r="AV40" s="372"/>
      <c r="AW40" s="372"/>
      <c r="AX40" s="372"/>
      <c r="AY40" s="62">
        <v>12</v>
      </c>
      <c r="AZ40" s="372"/>
      <c r="BA40" s="372"/>
      <c r="BB40" s="372"/>
      <c r="BC40" s="372"/>
      <c r="BD40" s="372"/>
      <c r="BE40" s="372"/>
      <c r="BF40" s="372"/>
      <c r="BG40" s="376"/>
      <c r="BH40" s="376"/>
      <c r="BI40" s="376"/>
      <c r="BJ40" s="152"/>
      <c r="BK40" s="62">
        <v>12</v>
      </c>
      <c r="BL40" s="1392"/>
      <c r="BM40" s="1540"/>
      <c r="BN40" s="339"/>
      <c r="BO40" s="372"/>
      <c r="BP40" s="338"/>
      <c r="BQ40" s="376"/>
      <c r="BR40" s="152"/>
      <c r="BS40" s="376"/>
      <c r="BT40" s="376"/>
      <c r="BU40" s="376"/>
      <c r="BV40" s="376"/>
      <c r="BW40" s="376"/>
      <c r="BX40" s="376"/>
      <c r="BY40" s="376"/>
      <c r="BZ40" s="376"/>
      <c r="CA40" s="376"/>
      <c r="CB40" s="376"/>
      <c r="CC40" s="376"/>
      <c r="CD40" s="376"/>
      <c r="CE40" s="376"/>
    </row>
    <row r="41" spans="1:83" ht="12.5" x14ac:dyDescent="0.25">
      <c r="A41" s="62">
        <v>13</v>
      </c>
      <c r="B41" s="370"/>
      <c r="C41" s="338"/>
      <c r="D41" s="371"/>
      <c r="E41" s="338"/>
      <c r="F41" s="372"/>
      <c r="G41" s="338"/>
      <c r="H41" s="339"/>
      <c r="I41" s="373"/>
      <c r="J41" s="374"/>
      <c r="K41" s="375"/>
      <c r="L41" s="371"/>
      <c r="M41" s="339"/>
      <c r="N41" s="372"/>
      <c r="O41" s="372"/>
      <c r="P41" s="62">
        <v>13</v>
      </c>
      <c r="Q41" s="372"/>
      <c r="R41" s="372"/>
      <c r="S41" s="372"/>
      <c r="T41" s="372"/>
      <c r="U41" s="372"/>
      <c r="V41" s="372"/>
      <c r="W41" s="372"/>
      <c r="X41" s="372"/>
      <c r="Y41" s="372"/>
      <c r="Z41" s="372"/>
      <c r="AA41" s="372"/>
      <c r="AB41" s="371"/>
      <c r="AC41" s="339"/>
      <c r="AD41" s="339"/>
      <c r="AE41" s="339"/>
      <c r="AF41" s="339"/>
      <c r="AG41" s="339"/>
      <c r="AH41" s="339"/>
      <c r="AI41" s="339"/>
      <c r="AJ41" s="339"/>
      <c r="AK41" s="339"/>
      <c r="AL41" s="339"/>
      <c r="AM41" s="62">
        <v>13</v>
      </c>
      <c r="AN41" s="372"/>
      <c r="AO41" s="371"/>
      <c r="AP41" s="371"/>
      <c r="AQ41" s="372"/>
      <c r="AR41" s="371"/>
      <c r="AS41" s="339"/>
      <c r="AT41" s="372"/>
      <c r="AU41" s="372"/>
      <c r="AV41" s="372"/>
      <c r="AW41" s="372"/>
      <c r="AX41" s="372"/>
      <c r="AY41" s="62">
        <v>13</v>
      </c>
      <c r="AZ41" s="372"/>
      <c r="BA41" s="372"/>
      <c r="BB41" s="372"/>
      <c r="BC41" s="372"/>
      <c r="BD41" s="372"/>
      <c r="BE41" s="372"/>
      <c r="BF41" s="372"/>
      <c r="BG41" s="376"/>
      <c r="BH41" s="376"/>
      <c r="BI41" s="376"/>
      <c r="BJ41" s="152"/>
      <c r="BK41" s="62">
        <v>13</v>
      </c>
      <c r="BL41" s="1392"/>
      <c r="BM41" s="1540"/>
      <c r="BN41" s="339"/>
      <c r="BO41" s="372"/>
      <c r="BP41" s="338"/>
      <c r="BQ41" s="376"/>
      <c r="BR41" s="152"/>
      <c r="BS41" s="376"/>
      <c r="BT41" s="376"/>
      <c r="BU41" s="376"/>
      <c r="BV41" s="376"/>
      <c r="BW41" s="376"/>
      <c r="BX41" s="376"/>
      <c r="BY41" s="376"/>
      <c r="BZ41" s="376"/>
      <c r="CA41" s="376"/>
      <c r="CB41" s="376"/>
      <c r="CC41" s="376"/>
      <c r="CD41" s="376"/>
      <c r="CE41" s="376"/>
    </row>
    <row r="42" spans="1:83" ht="12.5" x14ac:dyDescent="0.25">
      <c r="A42" s="64">
        <v>14</v>
      </c>
      <c r="B42" s="320"/>
      <c r="C42" s="173"/>
      <c r="D42" s="172"/>
      <c r="E42" s="173"/>
      <c r="F42" s="363"/>
      <c r="G42" s="173"/>
      <c r="H42" s="175"/>
      <c r="I42" s="378"/>
      <c r="J42" s="379"/>
      <c r="K42" s="380"/>
      <c r="L42" s="172"/>
      <c r="M42" s="175"/>
      <c r="N42" s="363"/>
      <c r="O42" s="363"/>
      <c r="P42" s="64">
        <v>14</v>
      </c>
      <c r="Q42" s="363"/>
      <c r="R42" s="363"/>
      <c r="S42" s="363"/>
      <c r="T42" s="363"/>
      <c r="U42" s="363"/>
      <c r="V42" s="363"/>
      <c r="W42" s="363"/>
      <c r="X42" s="363"/>
      <c r="Y42" s="363"/>
      <c r="Z42" s="363"/>
      <c r="AA42" s="363"/>
      <c r="AB42" s="172"/>
      <c r="AC42" s="175"/>
      <c r="AD42" s="175"/>
      <c r="AE42" s="175"/>
      <c r="AF42" s="175"/>
      <c r="AG42" s="175"/>
      <c r="AH42" s="175"/>
      <c r="AI42" s="175"/>
      <c r="AJ42" s="175"/>
      <c r="AK42" s="175"/>
      <c r="AL42" s="175"/>
      <c r="AM42" s="64">
        <v>14</v>
      </c>
      <c r="AN42" s="363"/>
      <c r="AO42" s="172"/>
      <c r="AP42" s="172"/>
      <c r="AQ42" s="363"/>
      <c r="AR42" s="172"/>
      <c r="AS42" s="175"/>
      <c r="AT42" s="363"/>
      <c r="AU42" s="363"/>
      <c r="AV42" s="363"/>
      <c r="AW42" s="363"/>
      <c r="AX42" s="363"/>
      <c r="AY42" s="64">
        <v>14</v>
      </c>
      <c r="AZ42" s="363"/>
      <c r="BA42" s="363"/>
      <c r="BB42" s="363"/>
      <c r="BC42" s="363"/>
      <c r="BD42" s="363"/>
      <c r="BE42" s="363"/>
      <c r="BF42" s="363"/>
      <c r="BG42" s="381"/>
      <c r="BH42" s="381"/>
      <c r="BI42" s="381"/>
      <c r="BJ42" s="171"/>
      <c r="BK42" s="64">
        <v>14</v>
      </c>
      <c r="BL42" s="1393"/>
      <c r="BM42" s="1541"/>
      <c r="BN42" s="175"/>
      <c r="BO42" s="363"/>
      <c r="BP42" s="173"/>
      <c r="BQ42" s="381"/>
      <c r="BR42" s="171"/>
      <c r="BS42" s="381"/>
      <c r="BT42" s="381"/>
      <c r="BU42" s="381"/>
      <c r="BV42" s="381"/>
      <c r="BW42" s="381"/>
      <c r="BX42" s="381"/>
      <c r="BY42" s="381"/>
      <c r="BZ42" s="381"/>
      <c r="CA42" s="381"/>
      <c r="CB42" s="381"/>
      <c r="CC42" s="381"/>
      <c r="CD42" s="381"/>
      <c r="CE42" s="381"/>
    </row>
    <row r="43" spans="1:83" ht="12.5" x14ac:dyDescent="0.25">
      <c r="A43" s="64">
        <v>15</v>
      </c>
      <c r="B43" s="320"/>
      <c r="C43" s="173"/>
      <c r="D43" s="172"/>
      <c r="E43" s="173"/>
      <c r="F43" s="363"/>
      <c r="G43" s="173"/>
      <c r="H43" s="175"/>
      <c r="I43" s="378"/>
      <c r="J43" s="379"/>
      <c r="K43" s="380"/>
      <c r="L43" s="172"/>
      <c r="M43" s="175"/>
      <c r="N43" s="363"/>
      <c r="O43" s="363"/>
      <c r="P43" s="64">
        <v>15</v>
      </c>
      <c r="Q43" s="363"/>
      <c r="R43" s="363"/>
      <c r="S43" s="363"/>
      <c r="T43" s="363"/>
      <c r="U43" s="363"/>
      <c r="V43" s="363"/>
      <c r="W43" s="363"/>
      <c r="X43" s="363"/>
      <c r="Y43" s="363"/>
      <c r="Z43" s="363"/>
      <c r="AA43" s="363"/>
      <c r="AB43" s="172"/>
      <c r="AC43" s="175"/>
      <c r="AD43" s="175"/>
      <c r="AE43" s="175"/>
      <c r="AF43" s="175"/>
      <c r="AG43" s="175"/>
      <c r="AH43" s="175"/>
      <c r="AI43" s="175"/>
      <c r="AJ43" s="175"/>
      <c r="AK43" s="175"/>
      <c r="AL43" s="175"/>
      <c r="AM43" s="64">
        <v>15</v>
      </c>
      <c r="AN43" s="363"/>
      <c r="AO43" s="172"/>
      <c r="AP43" s="172"/>
      <c r="AQ43" s="363"/>
      <c r="AR43" s="172"/>
      <c r="AS43" s="175"/>
      <c r="AT43" s="363"/>
      <c r="AU43" s="363"/>
      <c r="AV43" s="363"/>
      <c r="AW43" s="363"/>
      <c r="AX43" s="363"/>
      <c r="AY43" s="64">
        <v>15</v>
      </c>
      <c r="AZ43" s="363"/>
      <c r="BA43" s="363"/>
      <c r="BB43" s="363"/>
      <c r="BC43" s="363"/>
      <c r="BD43" s="363"/>
      <c r="BE43" s="363"/>
      <c r="BF43" s="363"/>
      <c r="BG43" s="381"/>
      <c r="BH43" s="381"/>
      <c r="BI43" s="381"/>
      <c r="BJ43" s="171"/>
      <c r="BK43" s="64">
        <v>15</v>
      </c>
      <c r="BL43" s="1393"/>
      <c r="BM43" s="1541"/>
      <c r="BN43" s="175"/>
      <c r="BO43" s="363"/>
      <c r="BP43" s="173"/>
      <c r="BQ43" s="381"/>
      <c r="BR43" s="171"/>
      <c r="BS43" s="381"/>
      <c r="BT43" s="381"/>
      <c r="BU43" s="381"/>
      <c r="BV43" s="381"/>
      <c r="BW43" s="381"/>
      <c r="BX43" s="381"/>
      <c r="BY43" s="381"/>
      <c r="BZ43" s="381"/>
      <c r="CA43" s="381"/>
      <c r="CB43" s="381"/>
      <c r="CC43" s="381"/>
      <c r="CD43" s="381"/>
      <c r="CE43" s="381"/>
    </row>
  </sheetData>
  <mergeCells count="216">
    <mergeCell ref="BN15:BN16"/>
    <mergeCell ref="BR5:BR13"/>
    <mergeCell ref="BV14:BV15"/>
    <mergeCell ref="BO17:BO18"/>
    <mergeCell ref="BP5:BP11"/>
    <mergeCell ref="BT5:BT13"/>
    <mergeCell ref="BU18:BU19"/>
    <mergeCell ref="BU14:BU15"/>
    <mergeCell ref="BU5:BU13"/>
    <mergeCell ref="BR14:BR15"/>
    <mergeCell ref="BS5:BS13"/>
    <mergeCell ref="BN5:BN10"/>
    <mergeCell ref="BQ5:BQ13"/>
    <mergeCell ref="BU16:BU17"/>
    <mergeCell ref="U12:U28"/>
    <mergeCell ref="O5:O12"/>
    <mergeCell ref="N5:N9"/>
    <mergeCell ref="AF27:AF28"/>
    <mergeCell ref="AS11:AS12"/>
    <mergeCell ref="AH5:AH14"/>
    <mergeCell ref="AO5:AO14"/>
    <mergeCell ref="W12:W28"/>
    <mergeCell ref="AS25:AS26"/>
    <mergeCell ref="AR5:AS8"/>
    <mergeCell ref="AP5:AP8"/>
    <mergeCell ref="L4:M4"/>
    <mergeCell ref="AB4:AC4"/>
    <mergeCell ref="AB28:AC28"/>
    <mergeCell ref="Q8:AA9"/>
    <mergeCell ref="AE19:AE26"/>
    <mergeCell ref="AH18:AH26"/>
    <mergeCell ref="AI5:AI14"/>
    <mergeCell ref="AN21:AN25"/>
    <mergeCell ref="V12:V28"/>
    <mergeCell ref="Q4:R4"/>
    <mergeCell ref="Q12:Q28"/>
    <mergeCell ref="T12:T28"/>
    <mergeCell ref="AL18:AL26"/>
    <mergeCell ref="AL5:AL17"/>
    <mergeCell ref="AK27:AK28"/>
    <mergeCell ref="AK18:AK26"/>
    <mergeCell ref="AJ18:AJ26"/>
    <mergeCell ref="N23:N24"/>
    <mergeCell ref="AJ27:AJ28"/>
    <mergeCell ref="P4:P28"/>
    <mergeCell ref="AB5:AC11"/>
    <mergeCell ref="AB21:AC21"/>
    <mergeCell ref="AB15:AC16"/>
    <mergeCell ref="AB17:AC18"/>
    <mergeCell ref="A4:A28"/>
    <mergeCell ref="G4:H4"/>
    <mergeCell ref="B5:B28"/>
    <mergeCell ref="C5:C15"/>
    <mergeCell ref="C18:C19"/>
    <mergeCell ref="F17:F18"/>
    <mergeCell ref="F5:F14"/>
    <mergeCell ref="G28:H28"/>
    <mergeCell ref="D28:E28"/>
    <mergeCell ref="H20:H21"/>
    <mergeCell ref="G5:H13"/>
    <mergeCell ref="H15:H16"/>
    <mergeCell ref="D5:E8"/>
    <mergeCell ref="D9:E27"/>
    <mergeCell ref="H17:H19"/>
    <mergeCell ref="J26:K26"/>
    <mergeCell ref="L5:M8"/>
    <mergeCell ref="J28:K28"/>
    <mergeCell ref="N19:N20"/>
    <mergeCell ref="L28:M28"/>
    <mergeCell ref="M11:M12"/>
    <mergeCell ref="K18:K19"/>
    <mergeCell ref="K20:K21"/>
    <mergeCell ref="BS14:BS15"/>
    <mergeCell ref="BJ5:BJ9"/>
    <mergeCell ref="BQ25:BQ27"/>
    <mergeCell ref="BR25:BR27"/>
    <mergeCell ref="AQ5:AQ21"/>
    <mergeCell ref="BG12:BG13"/>
    <mergeCell ref="AT5:AT12"/>
    <mergeCell ref="AW5:AW18"/>
    <mergeCell ref="BG15:BG16"/>
    <mergeCell ref="BG5:BG10"/>
    <mergeCell ref="AZ5:AZ16"/>
    <mergeCell ref="AX15:AX18"/>
    <mergeCell ref="BA5:BA15"/>
    <mergeCell ref="AT14:AT17"/>
    <mergeCell ref="BQ22:BQ24"/>
    <mergeCell ref="BR22:BR24"/>
    <mergeCell ref="I5:I18"/>
    <mergeCell ref="Q5:AA7"/>
    <mergeCell ref="AA12:AA28"/>
    <mergeCell ref="Y12:Y28"/>
    <mergeCell ref="Z12:Z28"/>
    <mergeCell ref="X12:X28"/>
    <mergeCell ref="J4:K4"/>
    <mergeCell ref="BA19:BA20"/>
    <mergeCell ref="AI27:AI28"/>
    <mergeCell ref="AD5:AD25"/>
    <mergeCell ref="AL27:AL28"/>
    <mergeCell ref="J5:K7"/>
    <mergeCell ref="M25:M26"/>
    <mergeCell ref="AI18:AI26"/>
    <mergeCell ref="R12:R28"/>
    <mergeCell ref="S12:S28"/>
    <mergeCell ref="AB13:AC14"/>
    <mergeCell ref="AG27:AG28"/>
    <mergeCell ref="AY4:AY28"/>
    <mergeCell ref="AJ5:AJ17"/>
    <mergeCell ref="AK5:AK17"/>
    <mergeCell ref="M22:M23"/>
    <mergeCell ref="N21:N22"/>
    <mergeCell ref="AG5:AG16"/>
    <mergeCell ref="BQ20:BQ21"/>
    <mergeCell ref="BT16:BT17"/>
    <mergeCell ref="BT20:BT21"/>
    <mergeCell ref="BT25:BT27"/>
    <mergeCell ref="BQ14:BQ15"/>
    <mergeCell ref="BQ16:BQ17"/>
    <mergeCell ref="BQ18:BQ19"/>
    <mergeCell ref="BS25:BS27"/>
    <mergeCell ref="BV16:BV17"/>
    <mergeCell ref="BR16:BR17"/>
    <mergeCell ref="BT18:BT19"/>
    <mergeCell ref="BR20:BR21"/>
    <mergeCell ref="BS22:BS24"/>
    <mergeCell ref="BT22:BT24"/>
    <mergeCell ref="BU22:BU24"/>
    <mergeCell ref="BV22:BV24"/>
    <mergeCell ref="BV25:BV27"/>
    <mergeCell ref="BV18:BV19"/>
    <mergeCell ref="BV20:BV21"/>
    <mergeCell ref="BR18:BR19"/>
    <mergeCell ref="BU20:BU21"/>
    <mergeCell ref="BU25:BU27"/>
    <mergeCell ref="BS18:BS19"/>
    <mergeCell ref="BS20:BS21"/>
    <mergeCell ref="AX27:AX28"/>
    <mergeCell ref="BD15:BD20"/>
    <mergeCell ref="AZ18:AZ26"/>
    <mergeCell ref="BB15:BB18"/>
    <mergeCell ref="AZ27:AZ28"/>
    <mergeCell ref="AX5:AX12"/>
    <mergeCell ref="BE5:BE15"/>
    <mergeCell ref="BE19:BE20"/>
    <mergeCell ref="BF5:BF9"/>
    <mergeCell ref="BF15:BF18"/>
    <mergeCell ref="BF27:BF28"/>
    <mergeCell ref="BB27:BB28"/>
    <mergeCell ref="BD5:BD9"/>
    <mergeCell ref="BC15:BC18"/>
    <mergeCell ref="BB5:BB9"/>
    <mergeCell ref="BC27:BC28"/>
    <mergeCell ref="BD27:BD28"/>
    <mergeCell ref="BC5:BC9"/>
    <mergeCell ref="AV27:AV28"/>
    <mergeCell ref="AE27:AE28"/>
    <mergeCell ref="AR28:AS28"/>
    <mergeCell ref="AT27:AT28"/>
    <mergeCell ref="AM4:AM28"/>
    <mergeCell ref="AH27:AH28"/>
    <mergeCell ref="AN5:AN18"/>
    <mergeCell ref="AR4:AS4"/>
    <mergeCell ref="AP9:AP27"/>
    <mergeCell ref="AF5:AF18"/>
    <mergeCell ref="AF19:AF26"/>
    <mergeCell ref="AE5:AE18"/>
    <mergeCell ref="AG18:AG26"/>
    <mergeCell ref="AS21:AS22"/>
    <mergeCell ref="BX16:BX17"/>
    <mergeCell ref="BY16:BY17"/>
    <mergeCell ref="CB16:CB17"/>
    <mergeCell ref="CA5:CA13"/>
    <mergeCell ref="BZ16:BZ19"/>
    <mergeCell ref="BX18:BX19"/>
    <mergeCell ref="BY18:BY19"/>
    <mergeCell ref="CB18:CB19"/>
    <mergeCell ref="AU5:AU9"/>
    <mergeCell ref="AV5:AV9"/>
    <mergeCell ref="BJ12:BJ13"/>
    <mergeCell ref="BK4:BK28"/>
    <mergeCell ref="BH27:BH28"/>
    <mergeCell ref="BJ14:BJ15"/>
    <mergeCell ref="BH5:BH10"/>
    <mergeCell ref="BO19:BO20"/>
    <mergeCell ref="BL5:BL13"/>
    <mergeCell ref="BM5:BM6"/>
    <mergeCell ref="BM8:BM12"/>
    <mergeCell ref="BI5:BI9"/>
    <mergeCell ref="BV5:BV13"/>
    <mergeCell ref="BT14:BT15"/>
    <mergeCell ref="BO5:BO16"/>
    <mergeCell ref="BS16:BS17"/>
    <mergeCell ref="BX20:BX21"/>
    <mergeCell ref="BY20:BY21"/>
    <mergeCell ref="BZ20:BZ21"/>
    <mergeCell ref="CB20:CB21"/>
    <mergeCell ref="BX25:BX27"/>
    <mergeCell ref="BZ25:BZ27"/>
    <mergeCell ref="CD5:CD13"/>
    <mergeCell ref="CE5:CE13"/>
    <mergeCell ref="CD14:CD15"/>
    <mergeCell ref="CE14:CE24"/>
    <mergeCell ref="CE25:CE27"/>
    <mergeCell ref="CD16:CD17"/>
    <mergeCell ref="CD18:CD19"/>
    <mergeCell ref="CD20:CD21"/>
    <mergeCell ref="BY25:BY28"/>
    <mergeCell ref="CB25:CB28"/>
    <mergeCell ref="BX5:BX13"/>
    <mergeCell ref="BY5:BY13"/>
    <mergeCell ref="BZ5:BZ13"/>
    <mergeCell ref="CB5:CB13"/>
    <mergeCell ref="BX14:BX15"/>
    <mergeCell ref="BY14:BY15"/>
    <mergeCell ref="BZ14:BZ15"/>
    <mergeCell ref="CB14:CB15"/>
  </mergeCells>
  <pageMargins left="0.314" right="0.314" top="0.11799999999999999" bottom="0.27500000000000002" header="0.157" footer="0.11799999999999999"/>
  <pageSetup scale="57" firstPageNumber="10" orientation="landscape" r:id="rId1"/>
  <headerFooter>
    <oddFooter>&amp;C&amp;P</oddFooter>
  </headerFooter>
  <colBreaks count="4" manualBreakCount="4">
    <brk id="15" max="1048575" man="1"/>
    <brk id="38" max="1048575" man="1"/>
    <brk id="50" max="1048575" man="1"/>
    <brk id="6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44"/>
  <sheetViews>
    <sheetView topLeftCell="AQ2" zoomScale="120" zoomScaleNormal="100" zoomScaleSheetLayoutView="120" workbookViewId="0">
      <selection activeCell="P5" sqref="P5:P20"/>
    </sheetView>
  </sheetViews>
  <sheetFormatPr defaultColWidth="8.81640625" defaultRowHeight="15.5" x14ac:dyDescent="0.35"/>
  <cols>
    <col min="1" max="1" width="3.453125" style="442" customWidth="1"/>
    <col min="2" max="2" width="4.453125" style="443" customWidth="1"/>
    <col min="3" max="3" width="9.7265625" style="981" customWidth="1"/>
    <col min="4" max="4" width="10.81640625" style="981" customWidth="1"/>
    <col min="5" max="9" width="9.7265625" style="981" customWidth="1"/>
    <col min="10" max="10" width="15.7265625" style="180" customWidth="1"/>
    <col min="11" max="11" width="14.7265625" style="180" customWidth="1"/>
    <col min="12" max="12" width="12.81640625" style="443" customWidth="1"/>
    <col min="13" max="13" width="9.7265625" style="180" customWidth="1"/>
    <col min="14" max="14" width="17.26953125" style="442" customWidth="1"/>
    <col min="15" max="15" width="3.453125" style="442" customWidth="1"/>
    <col min="16" max="16" width="10.26953125" style="445" customWidth="1"/>
    <col min="17" max="17" width="18.453125" style="445" customWidth="1"/>
    <col min="18" max="18" width="10.1796875" style="180" customWidth="1"/>
    <col min="19" max="19" width="10.453125" style="180" customWidth="1"/>
    <col min="20" max="20" width="10" style="445" customWidth="1"/>
    <col min="21" max="21" width="24.1796875" style="445" customWidth="1"/>
    <col min="22" max="22" width="10.1796875" style="445" customWidth="1"/>
    <col min="23" max="23" width="32.81640625" style="445" customWidth="1"/>
    <col min="24" max="24" width="15" style="2" customWidth="1"/>
    <col min="25" max="25" width="18.7265625" style="180" customWidth="1"/>
    <col min="26" max="26" width="12.1796875" style="180" customWidth="1"/>
    <col min="27" max="27" width="11" style="445" customWidth="1"/>
    <col min="28" max="28" width="3.453125" style="442" customWidth="1"/>
    <col min="29" max="29" width="14.453125" style="445" customWidth="1"/>
    <col min="30" max="31" width="9.7265625" style="445" customWidth="1"/>
    <col min="32" max="33" width="12.1796875" style="445" customWidth="1"/>
    <col min="34" max="40" width="3.7265625" style="445" customWidth="1"/>
    <col min="41" max="41" width="13.81640625" style="442" customWidth="1"/>
    <col min="42" max="42" width="10.7265625" style="442" customWidth="1"/>
    <col min="43" max="43" width="14.453125" style="442" customWidth="1"/>
    <col min="44" max="44" width="12.7265625" style="442" customWidth="1"/>
    <col min="45" max="45" width="10.81640625" style="442" customWidth="1"/>
  </cols>
  <sheetData>
    <row r="1" spans="1:45" ht="15.75" customHeight="1" x14ac:dyDescent="0.3">
      <c r="A1" s="398" t="s">
        <v>682</v>
      </c>
      <c r="B1" s="399"/>
      <c r="C1" s="69"/>
      <c r="D1" s="69"/>
      <c r="E1" s="69"/>
      <c r="F1" s="69"/>
      <c r="G1" s="69"/>
      <c r="H1" s="69"/>
      <c r="I1" s="69"/>
      <c r="J1" s="178"/>
      <c r="K1" s="178"/>
      <c r="L1" s="399"/>
      <c r="M1" s="178"/>
      <c r="N1" s="401"/>
      <c r="O1" s="398" t="s">
        <v>682</v>
      </c>
      <c r="P1" s="405"/>
      <c r="Q1" s="400"/>
      <c r="R1" s="178"/>
      <c r="S1" s="178"/>
      <c r="T1" s="405"/>
      <c r="U1" s="399"/>
      <c r="V1" s="405"/>
      <c r="W1" s="400"/>
      <c r="X1" s="4"/>
      <c r="Y1" s="178"/>
      <c r="Z1" s="178"/>
      <c r="AA1" s="405"/>
      <c r="AB1" s="398" t="s">
        <v>682</v>
      </c>
      <c r="AC1" s="399"/>
      <c r="AD1" s="400"/>
      <c r="AE1" s="400"/>
      <c r="AF1" s="399"/>
      <c r="AG1" s="399"/>
      <c r="AH1" s="399"/>
      <c r="AI1" s="399"/>
      <c r="AJ1" s="399"/>
      <c r="AK1" s="399"/>
      <c r="AL1" s="399"/>
      <c r="AM1" s="399"/>
      <c r="AN1" s="399"/>
      <c r="AO1" s="401"/>
      <c r="AP1" s="401"/>
      <c r="AQ1" s="401"/>
      <c r="AR1" s="401"/>
      <c r="AS1" s="401"/>
    </row>
    <row r="2" spans="1:45" ht="15.75" customHeight="1" x14ac:dyDescent="0.3">
      <c r="A2" s="398" t="s">
        <v>683</v>
      </c>
      <c r="B2" s="328"/>
      <c r="C2" s="78"/>
      <c r="D2" s="78"/>
      <c r="E2" s="78"/>
      <c r="F2" s="78"/>
      <c r="G2" s="78"/>
      <c r="H2" s="78"/>
      <c r="I2" s="78"/>
      <c r="J2" s="179"/>
      <c r="K2" s="179"/>
      <c r="L2" s="328"/>
      <c r="M2" s="179"/>
      <c r="N2" s="402"/>
      <c r="O2" s="398" t="s">
        <v>683</v>
      </c>
      <c r="P2" s="405"/>
      <c r="Q2" s="400"/>
      <c r="R2" s="179"/>
      <c r="S2" s="179"/>
      <c r="T2" s="405"/>
      <c r="U2" s="403"/>
      <c r="V2" s="405"/>
      <c r="W2" s="400"/>
      <c r="X2" s="4"/>
      <c r="Y2" s="178"/>
      <c r="Z2" s="178"/>
      <c r="AA2" s="405"/>
      <c r="AB2" s="1773" t="s">
        <v>683</v>
      </c>
      <c r="AC2" s="328"/>
      <c r="AD2" s="400"/>
      <c r="AE2" s="400"/>
      <c r="AF2" s="403"/>
      <c r="AG2" s="403"/>
      <c r="AH2" s="403"/>
      <c r="AI2" s="403"/>
      <c r="AJ2" s="403"/>
      <c r="AK2" s="403"/>
      <c r="AL2" s="403"/>
      <c r="AM2" s="403"/>
      <c r="AN2" s="403"/>
      <c r="AO2" s="402"/>
      <c r="AP2" s="402"/>
      <c r="AQ2" s="402"/>
      <c r="AR2" s="402"/>
      <c r="AS2" s="402"/>
    </row>
    <row r="3" spans="1:45" ht="15.75" customHeight="1" x14ac:dyDescent="0.35">
      <c r="Q3" s="2015"/>
      <c r="X3" s="4"/>
      <c r="Y3" s="179"/>
      <c r="Z3" s="179"/>
    </row>
    <row r="4" spans="1:45" ht="12.5" x14ac:dyDescent="0.25">
      <c r="A4" s="2766" t="s">
        <v>170</v>
      </c>
      <c r="B4" s="949">
        <v>4</v>
      </c>
      <c r="C4" s="978">
        <f t="shared" ref="C4:N4" si="0">B4+0.01</f>
        <v>4.01</v>
      </c>
      <c r="D4" s="2007" t="str">
        <f>CONCATENATE(C4+0.01, "a")</f>
        <v>4.02a</v>
      </c>
      <c r="E4" s="2007" t="str">
        <f>CONCATENATE(C4+0.01, "b")</f>
        <v>4.02b</v>
      </c>
      <c r="F4" s="2007">
        <f>C4+0.02</f>
        <v>4.0299999999999994</v>
      </c>
      <c r="G4" s="978">
        <f t="shared" si="0"/>
        <v>4.0399999999999991</v>
      </c>
      <c r="H4" s="978">
        <f t="shared" si="0"/>
        <v>4.0499999999999989</v>
      </c>
      <c r="I4" s="2007" t="str">
        <f>CONCATENATE(H4, "a")</f>
        <v>4.05a</v>
      </c>
      <c r="J4" s="978">
        <f>H4+0.01</f>
        <v>4.0599999999999987</v>
      </c>
      <c r="K4" s="406">
        <f t="shared" si="0"/>
        <v>4.0699999999999985</v>
      </c>
      <c r="L4" s="406">
        <f t="shared" si="0"/>
        <v>4.0799999999999983</v>
      </c>
      <c r="M4" s="406">
        <f t="shared" si="0"/>
        <v>4.0899999999999981</v>
      </c>
      <c r="N4" s="406">
        <f t="shared" si="0"/>
        <v>4.0999999999999979</v>
      </c>
      <c r="O4" s="3129" t="s">
        <v>170</v>
      </c>
      <c r="P4" s="2029">
        <f>N4+0.01</f>
        <v>4.1099999999999977</v>
      </c>
      <c r="Q4" s="2033">
        <f t="shared" ref="Q4:V4" si="1">P4+0.01</f>
        <v>4.1199999999999974</v>
      </c>
      <c r="R4" s="2029">
        <f t="shared" si="1"/>
        <v>4.1299999999999972</v>
      </c>
      <c r="S4" s="2029">
        <f t="shared" si="1"/>
        <v>4.139999999999997</v>
      </c>
      <c r="T4" s="2029">
        <f>S4+0.01</f>
        <v>4.1499999999999968</v>
      </c>
      <c r="U4" s="2016">
        <f t="shared" si="1"/>
        <v>4.1599999999999966</v>
      </c>
      <c r="V4" s="2464">
        <f t="shared" si="1"/>
        <v>4.1699999999999964</v>
      </c>
      <c r="W4" s="2020">
        <f>V4+0.01</f>
        <v>4.1799999999999962</v>
      </c>
      <c r="X4" s="1969" t="str">
        <f>CONCATENATE(W4, "a")</f>
        <v>4.18a</v>
      </c>
      <c r="Y4" s="1969" t="str">
        <f>CONCATENATE(W4, "b")</f>
        <v>4.18b</v>
      </c>
      <c r="Z4" s="1969" t="str">
        <f>CONCATENATE(W4, "c")</f>
        <v>4.18c</v>
      </c>
      <c r="AA4" s="215">
        <f>W4+0.01</f>
        <v>4.1899999999999959</v>
      </c>
      <c r="AB4" s="2766" t="s">
        <v>170</v>
      </c>
      <c r="AC4" s="2449">
        <f>AA4+0.01</f>
        <v>4.1999999999999957</v>
      </c>
      <c r="AD4" s="406">
        <f>AC4+0.01</f>
        <v>4.2099999999999955</v>
      </c>
      <c r="AE4" s="446">
        <f>AD4+0.01</f>
        <v>4.2199999999999953</v>
      </c>
      <c r="AF4" s="406">
        <f>AE4+0.01</f>
        <v>4.2299999999999951</v>
      </c>
      <c r="AG4" s="1776" t="str">
        <f>CONCATENATE(AF4, "a")</f>
        <v>4.23a</v>
      </c>
      <c r="AH4" s="3119">
        <f>AF4+0.01</f>
        <v>4.2399999999999949</v>
      </c>
      <c r="AI4" s="3119"/>
      <c r="AJ4" s="2464"/>
      <c r="AK4" s="2464"/>
      <c r="AL4" s="2464"/>
      <c r="AM4" s="2464"/>
      <c r="AN4" s="447"/>
      <c r="AO4" s="406">
        <f>ROUND(AF4,2)+0.02</f>
        <v>4.25</v>
      </c>
      <c r="AP4" s="406">
        <f>AO4+0.01</f>
        <v>4.26</v>
      </c>
      <c r="AQ4" s="406">
        <f>AP4+0.01</f>
        <v>4.2699999999999996</v>
      </c>
      <c r="AR4" s="3113">
        <f>AQ4+0.01</f>
        <v>4.2799999999999994</v>
      </c>
      <c r="AS4" s="3114"/>
    </row>
    <row r="5" spans="1:45" ht="12.75" customHeight="1" x14ac:dyDescent="0.25">
      <c r="A5" s="2767"/>
      <c r="B5" s="3131" t="s">
        <v>684</v>
      </c>
      <c r="C5" s="2784" t="s">
        <v>685</v>
      </c>
      <c r="D5" s="3071" t="s">
        <v>686</v>
      </c>
      <c r="E5" s="3071" t="s">
        <v>687</v>
      </c>
      <c r="F5" s="3071" t="s">
        <v>688</v>
      </c>
      <c r="G5" s="2783" t="s">
        <v>689</v>
      </c>
      <c r="H5" s="2783" t="s">
        <v>690</v>
      </c>
      <c r="I5" s="2805" t="s">
        <v>691</v>
      </c>
      <c r="J5" s="2783" t="s">
        <v>692</v>
      </c>
      <c r="K5" s="2783" t="s">
        <v>693</v>
      </c>
      <c r="L5" s="2783" t="s">
        <v>694</v>
      </c>
      <c r="M5" s="2783" t="s">
        <v>695</v>
      </c>
      <c r="N5" s="3122" t="s">
        <v>696</v>
      </c>
      <c r="O5" s="3130"/>
      <c r="P5" s="3093" t="s">
        <v>697</v>
      </c>
      <c r="Q5" s="3112" t="s">
        <v>698</v>
      </c>
      <c r="R5" s="3091" t="s">
        <v>699</v>
      </c>
      <c r="S5" s="3091" t="s">
        <v>700</v>
      </c>
      <c r="T5" s="3093" t="s">
        <v>701</v>
      </c>
      <c r="U5" s="3101" t="s">
        <v>702</v>
      </c>
      <c r="V5" s="3092" t="s">
        <v>701</v>
      </c>
      <c r="W5" s="2805" t="s">
        <v>703</v>
      </c>
      <c r="X5" s="2808" t="s">
        <v>704</v>
      </c>
      <c r="Y5" s="2808" t="s">
        <v>705</v>
      </c>
      <c r="Z5" s="2808" t="s">
        <v>706</v>
      </c>
      <c r="AA5" s="3100" t="s">
        <v>707</v>
      </c>
      <c r="AB5" s="2767"/>
      <c r="AC5" s="2783" t="s">
        <v>708</v>
      </c>
      <c r="AD5" s="2783" t="s">
        <v>709</v>
      </c>
      <c r="AE5" s="2783" t="s">
        <v>710</v>
      </c>
      <c r="AF5" s="2846" t="s">
        <v>711</v>
      </c>
      <c r="AG5" s="3138" t="s">
        <v>712</v>
      </c>
      <c r="AH5" s="3106" t="s">
        <v>713</v>
      </c>
      <c r="AI5" s="3107"/>
      <c r="AJ5" s="3107"/>
      <c r="AK5" s="3107"/>
      <c r="AL5" s="3107"/>
      <c r="AM5" s="3107"/>
      <c r="AN5" s="3108"/>
      <c r="AO5" s="3100" t="s">
        <v>714</v>
      </c>
      <c r="AP5" s="3100" t="s">
        <v>715</v>
      </c>
      <c r="AQ5" s="3100" t="str">
        <f>CONCATENATE("Même si [NOM] n'a pas travaillé au cours des 7 derniers jours, parmi les activités énumérées aux questions ",ROUND(J4,2),", ",ROUND(K4,2),", ",ROUND(L4,2), " et, ", ROUND(R4,2)," y en a-t-il une que [NOM] a exercé au cours des 12 derniers mois?",)</f>
        <v>Même si [NOM] n'a pas travaillé au cours des 7 derniers jours, parmi les activités énumérées aux questions 4.06, 4.07, 4.08 et, 4.13 y en a-t-il une que [NOM] a exercé au cours des 12 derniers mois?</v>
      </c>
      <c r="AR5" s="3120" t="s">
        <v>716</v>
      </c>
      <c r="AS5" s="3121"/>
    </row>
    <row r="6" spans="1:45" ht="12.75" customHeight="1" x14ac:dyDescent="0.25">
      <c r="A6" s="2767"/>
      <c r="B6" s="3132"/>
      <c r="C6" s="2784"/>
      <c r="D6" s="3071"/>
      <c r="E6" s="3071"/>
      <c r="F6" s="3071"/>
      <c r="G6" s="2783"/>
      <c r="H6" s="2783"/>
      <c r="I6" s="2805"/>
      <c r="J6" s="2783"/>
      <c r="K6" s="2783"/>
      <c r="L6" s="2783"/>
      <c r="M6" s="2783"/>
      <c r="N6" s="3122"/>
      <c r="O6" s="3130"/>
      <c r="P6" s="3093"/>
      <c r="Q6" s="3112"/>
      <c r="R6" s="3091"/>
      <c r="S6" s="3091"/>
      <c r="T6" s="3093"/>
      <c r="U6" s="3101"/>
      <c r="V6" s="3092"/>
      <c r="W6" s="2805"/>
      <c r="X6" s="2808"/>
      <c r="Y6" s="2808"/>
      <c r="Z6" s="2808"/>
      <c r="AA6" s="3100"/>
      <c r="AB6" s="2767"/>
      <c r="AC6" s="3118"/>
      <c r="AD6" s="2783"/>
      <c r="AE6" s="2783"/>
      <c r="AF6" s="3110"/>
      <c r="AG6" s="3138"/>
      <c r="AH6" s="3107"/>
      <c r="AI6" s="3107"/>
      <c r="AJ6" s="3107"/>
      <c r="AK6" s="3107"/>
      <c r="AL6" s="3107"/>
      <c r="AM6" s="3107"/>
      <c r="AN6" s="3108"/>
      <c r="AO6" s="3100"/>
      <c r="AP6" s="3100"/>
      <c r="AQ6" s="3100"/>
      <c r="AR6" s="3120"/>
      <c r="AS6" s="3121"/>
    </row>
    <row r="7" spans="1:45" ht="12.5" x14ac:dyDescent="0.25">
      <c r="A7" s="2767"/>
      <c r="B7" s="3132"/>
      <c r="C7" s="2784"/>
      <c r="D7" s="3071"/>
      <c r="E7" s="3071"/>
      <c r="F7" s="3071"/>
      <c r="G7" s="2783"/>
      <c r="H7" s="2783"/>
      <c r="I7" s="2805"/>
      <c r="J7" s="2783"/>
      <c r="K7" s="2783"/>
      <c r="L7" s="2783"/>
      <c r="M7" s="2783"/>
      <c r="N7" s="3122"/>
      <c r="O7" s="3130"/>
      <c r="P7" s="3093"/>
      <c r="Q7" s="3112"/>
      <c r="R7" s="3091"/>
      <c r="S7" s="3091"/>
      <c r="T7" s="3093"/>
      <c r="U7" s="3101"/>
      <c r="V7" s="3092"/>
      <c r="W7" s="2805"/>
      <c r="X7" s="2808"/>
      <c r="Y7" s="2808"/>
      <c r="Z7" s="2808"/>
      <c r="AA7" s="3100"/>
      <c r="AB7" s="2767"/>
      <c r="AC7" s="3118"/>
      <c r="AD7" s="2783"/>
      <c r="AE7" s="2783"/>
      <c r="AF7" s="3110"/>
      <c r="AG7" s="3138"/>
      <c r="AH7" s="448"/>
      <c r="AI7" s="448"/>
      <c r="AJ7" s="448"/>
      <c r="AK7" s="448"/>
      <c r="AL7" s="448"/>
      <c r="AM7" s="448"/>
      <c r="AN7" s="449"/>
      <c r="AO7" s="3100"/>
      <c r="AP7" s="3100"/>
      <c r="AQ7" s="3100"/>
      <c r="AR7" s="3120"/>
      <c r="AS7" s="3121"/>
    </row>
    <row r="8" spans="1:45" ht="12.5" x14ac:dyDescent="0.25">
      <c r="A8" s="2767"/>
      <c r="B8" s="3132"/>
      <c r="C8" s="2784"/>
      <c r="D8" s="3071"/>
      <c r="E8" s="3071"/>
      <c r="F8" s="3071"/>
      <c r="G8" s="2783"/>
      <c r="H8" s="2783"/>
      <c r="I8" s="2805"/>
      <c r="J8" s="2783"/>
      <c r="K8" s="2783"/>
      <c r="L8" s="2783"/>
      <c r="M8" s="2783"/>
      <c r="N8" s="3122"/>
      <c r="O8" s="3130"/>
      <c r="P8" s="3093"/>
      <c r="Q8" s="3112"/>
      <c r="R8" s="3091"/>
      <c r="S8" s="3091"/>
      <c r="T8" s="3093"/>
      <c r="U8" s="2460"/>
      <c r="V8" s="3092"/>
      <c r="W8" s="2805"/>
      <c r="X8" s="2808"/>
      <c r="Y8" s="2808"/>
      <c r="Z8" s="2808"/>
      <c r="AA8" s="3100"/>
      <c r="AB8" s="2767"/>
      <c r="AC8" s="2366"/>
      <c r="AD8" s="2783"/>
      <c r="AE8" s="2783"/>
      <c r="AF8" s="3110"/>
      <c r="AG8" s="3138"/>
      <c r="AH8" s="450"/>
      <c r="AI8" s="450"/>
      <c r="AJ8" s="450"/>
      <c r="AK8" s="450"/>
      <c r="AL8" s="450"/>
      <c r="AM8" s="450"/>
      <c r="AN8" s="451"/>
      <c r="AO8" s="3100"/>
      <c r="AP8" s="3100"/>
      <c r="AQ8" s="3100"/>
      <c r="AR8" s="3120"/>
      <c r="AS8" s="3121"/>
    </row>
    <row r="9" spans="1:45" ht="12.5" x14ac:dyDescent="0.25">
      <c r="A9" s="2767"/>
      <c r="B9" s="3132"/>
      <c r="C9" s="2784"/>
      <c r="D9" s="3071"/>
      <c r="E9" s="3071"/>
      <c r="F9" s="3071"/>
      <c r="G9" s="2783"/>
      <c r="H9" s="2783"/>
      <c r="I9" s="2805"/>
      <c r="J9" s="2783"/>
      <c r="K9" s="2783"/>
      <c r="L9" s="2783"/>
      <c r="M9" s="2783"/>
      <c r="N9" s="3122"/>
      <c r="O9" s="3130"/>
      <c r="P9" s="3093"/>
      <c r="Q9" s="2442"/>
      <c r="R9" s="3091"/>
      <c r="S9" s="3091"/>
      <c r="T9" s="3093"/>
      <c r="U9" s="2460" t="s">
        <v>717</v>
      </c>
      <c r="V9" s="3092"/>
      <c r="W9" s="2462" t="s">
        <v>718</v>
      </c>
      <c r="X9" s="2350"/>
      <c r="Y9" s="2350"/>
      <c r="Z9" s="2808"/>
      <c r="AA9" s="3100"/>
      <c r="AB9" s="2767"/>
      <c r="AC9" s="2366" t="s">
        <v>719</v>
      </c>
      <c r="AD9" s="2783"/>
      <c r="AE9" s="2783"/>
      <c r="AF9" s="3110"/>
      <c r="AG9" s="1780"/>
      <c r="AH9" s="2504"/>
      <c r="AI9" s="2504"/>
      <c r="AJ9" s="2504"/>
      <c r="AK9" s="2504"/>
      <c r="AL9" s="2504"/>
      <c r="AM9" s="2504"/>
      <c r="AN9" s="454"/>
      <c r="AO9" s="455"/>
      <c r="AP9" s="3100"/>
      <c r="AQ9" s="3100"/>
      <c r="AR9" s="452"/>
      <c r="AS9" s="453"/>
    </row>
    <row r="10" spans="1:45" ht="13.5" customHeight="1" x14ac:dyDescent="0.25">
      <c r="A10" s="2767"/>
      <c r="B10" s="3132"/>
      <c r="C10" s="2784"/>
      <c r="D10" s="3071"/>
      <c r="E10" s="3071"/>
      <c r="F10" s="3071"/>
      <c r="G10" s="2783"/>
      <c r="H10" s="2783"/>
      <c r="I10" s="2805"/>
      <c r="J10" s="2783"/>
      <c r="K10" s="2783"/>
      <c r="L10" s="2783"/>
      <c r="M10" s="2783"/>
      <c r="N10" s="3122"/>
      <c r="O10" s="3130"/>
      <c r="P10" s="3093"/>
      <c r="Q10" s="2442" t="s">
        <v>720</v>
      </c>
      <c r="R10" s="3091"/>
      <c r="S10" s="3091"/>
      <c r="T10" s="3093"/>
      <c r="U10" s="2460" t="s">
        <v>721</v>
      </c>
      <c r="V10" s="3092"/>
      <c r="W10" s="2462" t="s">
        <v>722</v>
      </c>
      <c r="X10" s="2052"/>
      <c r="Y10" s="2013" t="s">
        <v>236</v>
      </c>
      <c r="Z10" s="3095" t="s">
        <v>237</v>
      </c>
      <c r="AA10" s="3100"/>
      <c r="AB10" s="2767"/>
      <c r="AC10" s="1983" t="s">
        <v>723</v>
      </c>
      <c r="AD10" s="2783"/>
      <c r="AE10" s="2783"/>
      <c r="AF10" s="456"/>
      <c r="AG10" s="1781"/>
      <c r="AH10" s="3115" t="s">
        <v>724</v>
      </c>
      <c r="AI10" s="3116"/>
      <c r="AJ10" s="3116"/>
      <c r="AK10" s="3116"/>
      <c r="AL10" s="3116"/>
      <c r="AM10" s="3116"/>
      <c r="AN10" s="3117"/>
      <c r="AO10" s="455"/>
      <c r="AP10" s="3100"/>
      <c r="AQ10" s="3100"/>
      <c r="AR10" s="3120" t="s">
        <v>725</v>
      </c>
      <c r="AS10" s="3121"/>
    </row>
    <row r="11" spans="1:45" ht="12.5" x14ac:dyDescent="0.25">
      <c r="A11" s="2767"/>
      <c r="B11" s="3132"/>
      <c r="C11" s="2784"/>
      <c r="D11" s="3071"/>
      <c r="E11" s="3071"/>
      <c r="F11" s="3071"/>
      <c r="G11" s="2783"/>
      <c r="H11" s="2783"/>
      <c r="I11" s="2805"/>
      <c r="J11" s="2783"/>
      <c r="K11" s="2783"/>
      <c r="L11" s="2783"/>
      <c r="M11" s="2783"/>
      <c r="N11" s="3122"/>
      <c r="O11" s="3130"/>
      <c r="P11" s="3093"/>
      <c r="Q11" s="2442" t="s">
        <v>726</v>
      </c>
      <c r="R11" s="3091"/>
      <c r="S11" s="3091"/>
      <c r="T11" s="3093"/>
      <c r="U11" s="2451" t="s">
        <v>727</v>
      </c>
      <c r="V11" s="3092"/>
      <c r="W11" s="2371" t="str">
        <f>CONCATENATE("3 Ne veut pas travailler ►(", TEXT(AQ4,"0.00"),")")</f>
        <v>3 Ne veut pas travailler ►(4.27)</v>
      </c>
      <c r="X11" s="2350" t="str">
        <f>CONCATENATE("0 Sans emploi  ►(",TEXT(AA4,"0.00"),")")</f>
        <v>0 Sans emploi  ►(4.19)</v>
      </c>
      <c r="Y11" s="2053" t="s">
        <v>249</v>
      </c>
      <c r="Z11" s="3095"/>
      <c r="AA11" s="3100"/>
      <c r="AB11" s="2767"/>
      <c r="AC11" s="2854" t="s">
        <v>728</v>
      </c>
      <c r="AD11" s="3109"/>
      <c r="AE11" s="3109"/>
      <c r="AF11" s="456"/>
      <c r="AG11" s="1781"/>
      <c r="AH11" s="3115" t="s">
        <v>404</v>
      </c>
      <c r="AI11" s="3115"/>
      <c r="AJ11" s="3115"/>
      <c r="AK11" s="3115"/>
      <c r="AL11" s="3115"/>
      <c r="AM11" s="3115"/>
      <c r="AN11" s="3139"/>
      <c r="AO11" s="58" t="s">
        <v>729</v>
      </c>
      <c r="AP11" s="3100"/>
      <c r="AQ11" s="3100"/>
      <c r="AR11" s="3120"/>
      <c r="AS11" s="3121"/>
    </row>
    <row r="12" spans="1:45" ht="15.75" customHeight="1" x14ac:dyDescent="0.25">
      <c r="A12" s="2767"/>
      <c r="B12" s="3132"/>
      <c r="C12" s="2784"/>
      <c r="D12" s="3071"/>
      <c r="E12" s="3071"/>
      <c r="F12" s="3071"/>
      <c r="G12" s="2783"/>
      <c r="H12" s="2783"/>
      <c r="I12" s="2805"/>
      <c r="J12" s="2783"/>
      <c r="K12" s="2783"/>
      <c r="L12" s="2783"/>
      <c r="M12" s="2783"/>
      <c r="N12" s="3122"/>
      <c r="O12" s="3130"/>
      <c r="P12" s="3093"/>
      <c r="Q12" s="3123" t="s">
        <v>730</v>
      </c>
      <c r="R12" s="3091"/>
      <c r="S12" s="3091"/>
      <c r="T12" s="3093"/>
      <c r="U12" s="2460" t="s">
        <v>731</v>
      </c>
      <c r="V12" s="3092"/>
      <c r="W12" s="2021" t="str">
        <f>CONCATENATE(" Si Modalités 4-14 ►(",TEXT(AA4,"0.00"),")")</f>
        <v xml:space="preserve"> Si Modalités 4-14 ►(4.19)</v>
      </c>
      <c r="X12" s="2808" t="s">
        <v>263</v>
      </c>
      <c r="Y12" s="2023" t="s">
        <v>264</v>
      </c>
      <c r="Z12" s="3095" t="s">
        <v>265</v>
      </c>
      <c r="AA12" s="3100"/>
      <c r="AB12" s="2767"/>
      <c r="AC12" s="2854"/>
      <c r="AD12" s="1983"/>
      <c r="AE12" s="1983"/>
      <c r="AF12" s="2846" t="s">
        <v>732</v>
      </c>
      <c r="AG12" s="2444"/>
      <c r="AH12" s="3140"/>
      <c r="AI12" s="3140"/>
      <c r="AJ12" s="3140"/>
      <c r="AK12" s="3140"/>
      <c r="AL12" s="3140"/>
      <c r="AM12" s="3140"/>
      <c r="AN12" s="3141"/>
      <c r="AO12" s="457" t="s">
        <v>733</v>
      </c>
      <c r="AP12" s="3100"/>
      <c r="AQ12" s="3100"/>
      <c r="AR12" s="3120"/>
      <c r="AS12" s="3121"/>
    </row>
    <row r="13" spans="1:45" ht="13.5" customHeight="1" x14ac:dyDescent="0.25">
      <c r="A13" s="2767"/>
      <c r="B13" s="3132"/>
      <c r="C13" s="2784"/>
      <c r="D13" s="3071"/>
      <c r="E13" s="3071"/>
      <c r="F13" s="3071"/>
      <c r="G13" s="2783"/>
      <c r="H13" s="2783"/>
      <c r="I13" s="2805"/>
      <c r="J13" s="2783"/>
      <c r="K13" s="2783"/>
      <c r="L13" s="2783"/>
      <c r="M13" s="2783"/>
      <c r="N13" s="3122"/>
      <c r="O13" s="3130"/>
      <c r="P13" s="3093"/>
      <c r="Q13" s="3123"/>
      <c r="R13" s="3091"/>
      <c r="S13" s="3091"/>
      <c r="T13" s="3093"/>
      <c r="U13" s="2046" t="s">
        <v>734</v>
      </c>
      <c r="V13" s="3092"/>
      <c r="W13" s="2371" t="s">
        <v>735</v>
      </c>
      <c r="X13" s="2808"/>
      <c r="Y13" s="2023" t="s">
        <v>273</v>
      </c>
      <c r="Z13" s="3095"/>
      <c r="AA13" s="3100"/>
      <c r="AB13" s="2767"/>
      <c r="AC13" s="2366" t="s">
        <v>736</v>
      </c>
      <c r="AD13" s="1983"/>
      <c r="AE13" s="1983"/>
      <c r="AF13" s="2846"/>
      <c r="AG13" s="2444" t="s">
        <v>227</v>
      </c>
      <c r="AH13" s="3125" t="s">
        <v>737</v>
      </c>
      <c r="AI13" s="3096" t="s">
        <v>738</v>
      </c>
      <c r="AJ13" s="3096" t="s">
        <v>739</v>
      </c>
      <c r="AK13" s="3096" t="s">
        <v>740</v>
      </c>
      <c r="AL13" s="3096" t="s">
        <v>741</v>
      </c>
      <c r="AM13" s="3096" t="s">
        <v>742</v>
      </c>
      <c r="AN13" s="3096" t="s">
        <v>743</v>
      </c>
      <c r="AO13" s="3100" t="str">
        <f>CONCATENATE("3 Exploitant agricole ► (",TEXT(AQ4,"0.00"),")")</f>
        <v>3 Exploitant agricole ► (4.27)</v>
      </c>
      <c r="AP13" s="3100"/>
      <c r="AQ13" s="3100"/>
      <c r="AR13" s="3120" t="s">
        <v>744</v>
      </c>
      <c r="AS13" s="3121"/>
    </row>
    <row r="14" spans="1:45" ht="13.5" customHeight="1" x14ac:dyDescent="0.25">
      <c r="A14" s="2767"/>
      <c r="B14" s="3132"/>
      <c r="C14" s="2784"/>
      <c r="D14" s="3071"/>
      <c r="E14" s="3071"/>
      <c r="F14" s="3071"/>
      <c r="G14" s="2783"/>
      <c r="H14" s="2783"/>
      <c r="I14" s="2805"/>
      <c r="J14" s="2783"/>
      <c r="K14" s="2783"/>
      <c r="L14" s="2783"/>
      <c r="M14" s="2783"/>
      <c r="N14" s="3122"/>
      <c r="O14" s="3130"/>
      <c r="P14" s="3093"/>
      <c r="Q14" s="2034" t="s">
        <v>745</v>
      </c>
      <c r="R14" s="3091"/>
      <c r="S14" s="3091"/>
      <c r="T14" s="2030"/>
      <c r="U14" s="3102" t="s">
        <v>746</v>
      </c>
      <c r="V14" s="158"/>
      <c r="W14" s="2371" t="s">
        <v>747</v>
      </c>
      <c r="X14" s="2054" t="s">
        <v>281</v>
      </c>
      <c r="Y14" s="2053" t="s">
        <v>282</v>
      </c>
      <c r="Z14" s="3095" t="s">
        <v>283</v>
      </c>
      <c r="AA14" s="58"/>
      <c r="AB14" s="2767"/>
      <c r="AC14" s="2366"/>
      <c r="AD14" s="58"/>
      <c r="AE14" s="58"/>
      <c r="AF14" s="2951" t="str">
        <f>CONCATENATE("2 En quête d'un premier emploi ►(",TEXT(AH4,"0.00"),")")</f>
        <v>2 En quête d'un premier emploi ►(4.24)</v>
      </c>
      <c r="AG14" s="1984" t="s">
        <v>240</v>
      </c>
      <c r="AH14" s="3126"/>
      <c r="AI14" s="3097"/>
      <c r="AJ14" s="3103"/>
      <c r="AK14" s="3097"/>
      <c r="AL14" s="3097"/>
      <c r="AM14" s="3097"/>
      <c r="AN14" s="3097"/>
      <c r="AO14" s="3100"/>
      <c r="AP14" s="3100"/>
      <c r="AQ14" s="3100"/>
      <c r="AR14" s="3120"/>
      <c r="AS14" s="3121"/>
    </row>
    <row r="15" spans="1:45" ht="13.5" customHeight="1" x14ac:dyDescent="0.25">
      <c r="A15" s="2767"/>
      <c r="B15" s="3132"/>
      <c r="C15" s="2784"/>
      <c r="D15" s="3071"/>
      <c r="E15" s="3071"/>
      <c r="F15" s="3071"/>
      <c r="G15" s="2783"/>
      <c r="H15" s="2783"/>
      <c r="I15" s="2371"/>
      <c r="J15" s="2783"/>
      <c r="K15" s="2783"/>
      <c r="L15" s="2783"/>
      <c r="M15" s="2783"/>
      <c r="N15" s="458"/>
      <c r="O15" s="3130"/>
      <c r="P15" s="3093"/>
      <c r="Q15" s="2442" t="s">
        <v>748</v>
      </c>
      <c r="R15" s="3091"/>
      <c r="S15" s="3091"/>
      <c r="T15" s="2030"/>
      <c r="U15" s="3102"/>
      <c r="V15" s="158"/>
      <c r="W15" s="2022" t="s">
        <v>749</v>
      </c>
      <c r="X15" s="2808" t="s">
        <v>289</v>
      </c>
      <c r="Y15" s="2055" t="s">
        <v>290</v>
      </c>
      <c r="Z15" s="3095"/>
      <c r="AA15" s="58" t="str">
        <f>CONCATENATE("1 Oui")</f>
        <v>1 Oui</v>
      </c>
      <c r="AB15" s="2767"/>
      <c r="AC15" s="58"/>
      <c r="AD15" s="3027" t="s">
        <v>750</v>
      </c>
      <c r="AE15" s="3027" t="s">
        <v>750</v>
      </c>
      <c r="AF15" s="2951"/>
      <c r="AG15" s="1984"/>
      <c r="AH15" s="3126"/>
      <c r="AI15" s="3097"/>
      <c r="AJ15" s="3103"/>
      <c r="AK15" s="3097"/>
      <c r="AL15" s="3097"/>
      <c r="AM15" s="3097"/>
      <c r="AN15" s="3097"/>
      <c r="AO15" s="3100" t="str">
        <f>CONCATENATE("4 Indépendant non-agricole ► (", TEXT(AQ4,"0.00"),")")</f>
        <v>4 Indépendant non-agricole ► (4.27)</v>
      </c>
      <c r="AP15" s="3100"/>
      <c r="AQ15" s="3100"/>
      <c r="AR15" s="3120" t="s">
        <v>751</v>
      </c>
      <c r="AS15" s="3121"/>
    </row>
    <row r="16" spans="1:45" ht="23" x14ac:dyDescent="0.25">
      <c r="A16" s="2767"/>
      <c r="B16" s="3132"/>
      <c r="C16" s="2784"/>
      <c r="D16" s="3071"/>
      <c r="E16" s="3071"/>
      <c r="F16" s="3071"/>
      <c r="G16" s="2783"/>
      <c r="H16" s="2783"/>
      <c r="I16" s="2371"/>
      <c r="J16" s="2783"/>
      <c r="K16" s="2783"/>
      <c r="L16" s="2783"/>
      <c r="M16" s="2783"/>
      <c r="N16" s="458"/>
      <c r="O16" s="3130"/>
      <c r="P16" s="3093"/>
      <c r="Q16" s="2442" t="s">
        <v>752</v>
      </c>
      <c r="R16" s="3091"/>
      <c r="S16" s="3091"/>
      <c r="T16" s="2030"/>
      <c r="U16" s="2047" t="s">
        <v>753</v>
      </c>
      <c r="V16" s="158"/>
      <c r="W16" s="2146" t="s">
        <v>754</v>
      </c>
      <c r="X16" s="2808"/>
      <c r="Y16" s="2013" t="s">
        <v>296</v>
      </c>
      <c r="Z16" s="3094" t="s">
        <v>297</v>
      </c>
      <c r="AA16" s="1695" t="str">
        <f>CONCATENATE("2 Non ► (",TEXT(AQ4,"0.00"),")")</f>
        <v>2 Non ► (4.27)</v>
      </c>
      <c r="AB16" s="2767"/>
      <c r="AC16" s="256"/>
      <c r="AD16" s="3027"/>
      <c r="AE16" s="3027"/>
      <c r="AF16" s="2951"/>
      <c r="AG16" s="1695"/>
      <c r="AH16" s="3126"/>
      <c r="AI16" s="3097"/>
      <c r="AJ16" s="3103"/>
      <c r="AK16" s="3097"/>
      <c r="AL16" s="3097"/>
      <c r="AM16" s="3097"/>
      <c r="AN16" s="3097"/>
      <c r="AO16" s="3100"/>
      <c r="AP16" s="3100"/>
      <c r="AQ16" s="3100"/>
      <c r="AR16" s="3120"/>
      <c r="AS16" s="3121"/>
    </row>
    <row r="17" spans="1:45" ht="13.5" customHeight="1" x14ac:dyDescent="0.35">
      <c r="A17" s="2767"/>
      <c r="B17" s="3132"/>
      <c r="C17" s="2784"/>
      <c r="D17" s="3071"/>
      <c r="E17" s="3071"/>
      <c r="F17" s="3071"/>
      <c r="G17" s="2783"/>
      <c r="H17" s="2783"/>
      <c r="I17" s="2371"/>
      <c r="J17" s="2783"/>
      <c r="K17" s="2783"/>
      <c r="L17" s="2783"/>
      <c r="M17" s="2783"/>
      <c r="N17" s="458"/>
      <c r="O17" s="3130"/>
      <c r="P17" s="3093"/>
      <c r="Q17" s="3123" t="s">
        <v>755</v>
      </c>
      <c r="R17" s="3091"/>
      <c r="S17" s="3091"/>
      <c r="T17" s="2030"/>
      <c r="U17" s="2460" t="s">
        <v>756</v>
      </c>
      <c r="V17" s="158"/>
      <c r="W17" s="2022" t="s">
        <v>757</v>
      </c>
      <c r="X17" s="1979" t="s">
        <v>302</v>
      </c>
      <c r="Y17" s="2053" t="s">
        <v>303</v>
      </c>
      <c r="Z17" s="3094"/>
      <c r="AB17" s="2767"/>
      <c r="AC17" s="413"/>
      <c r="AD17" s="3027"/>
      <c r="AE17" s="3027"/>
      <c r="AF17" s="58"/>
      <c r="AG17" s="1695"/>
      <c r="AH17" s="3126"/>
      <c r="AI17" s="3097"/>
      <c r="AJ17" s="3103"/>
      <c r="AK17" s="3097"/>
      <c r="AL17" s="3097"/>
      <c r="AM17" s="3097"/>
      <c r="AN17" s="3097"/>
      <c r="AO17" s="673" t="s">
        <v>758</v>
      </c>
      <c r="AP17" s="457"/>
      <c r="AQ17" s="3100"/>
      <c r="AR17" s="3120" t="s">
        <v>759</v>
      </c>
      <c r="AS17" s="3121"/>
    </row>
    <row r="18" spans="1:45" ht="13" customHeight="1" x14ac:dyDescent="0.25">
      <c r="A18" s="2767"/>
      <c r="B18" s="3132"/>
      <c r="C18" s="2784"/>
      <c r="D18" s="3071"/>
      <c r="E18" s="3071"/>
      <c r="F18" s="3071"/>
      <c r="G18" s="2783"/>
      <c r="H18" s="2783"/>
      <c r="I18" s="2371"/>
      <c r="J18" s="2783"/>
      <c r="K18" s="2783"/>
      <c r="L18" s="2783"/>
      <c r="M18" s="2783"/>
      <c r="N18" s="458"/>
      <c r="O18" s="3130"/>
      <c r="P18" s="3093"/>
      <c r="Q18" s="3123"/>
      <c r="R18" s="3091"/>
      <c r="S18" s="3091"/>
      <c r="T18" s="2041" t="s">
        <v>227</v>
      </c>
      <c r="U18" s="2460" t="s">
        <v>760</v>
      </c>
      <c r="V18" s="2044"/>
      <c r="W18" s="2371" t="s">
        <v>761</v>
      </c>
      <c r="X18" s="2054" t="s">
        <v>306</v>
      </c>
      <c r="Y18" s="2055" t="s">
        <v>307</v>
      </c>
      <c r="Z18" s="3094" t="s">
        <v>762</v>
      </c>
      <c r="AA18" s="458"/>
      <c r="AB18" s="2767"/>
      <c r="AC18" s="2366"/>
      <c r="AD18" s="3027"/>
      <c r="AE18" s="3027"/>
      <c r="AF18" s="252"/>
      <c r="AG18" s="1778"/>
      <c r="AH18" s="3126"/>
      <c r="AI18" s="3097"/>
      <c r="AJ18" s="3103"/>
      <c r="AK18" s="3097"/>
      <c r="AL18" s="3097"/>
      <c r="AM18" s="3097"/>
      <c r="AN18" s="3097"/>
      <c r="AO18" s="457"/>
      <c r="AP18" s="457"/>
      <c r="AQ18" s="3100"/>
      <c r="AR18" s="3120"/>
      <c r="AS18" s="3121"/>
    </row>
    <row r="19" spans="1:45" ht="13.5" customHeight="1" x14ac:dyDescent="0.25">
      <c r="A19" s="2767"/>
      <c r="B19" s="3132"/>
      <c r="C19" s="2784"/>
      <c r="D19" s="3071"/>
      <c r="E19" s="3071"/>
      <c r="F19" s="3071"/>
      <c r="G19" s="2783"/>
      <c r="H19" s="2783"/>
      <c r="I19" s="2371"/>
      <c r="J19" s="2783"/>
      <c r="K19" s="2783"/>
      <c r="L19" s="2783"/>
      <c r="M19" s="58"/>
      <c r="N19" s="458"/>
      <c r="O19" s="3130"/>
      <c r="P19" s="3093"/>
      <c r="Q19" s="2442" t="s">
        <v>763</v>
      </c>
      <c r="R19" s="3091"/>
      <c r="S19" s="3091"/>
      <c r="T19" s="2030" t="s">
        <v>494</v>
      </c>
      <c r="U19" s="2048"/>
      <c r="V19" s="158"/>
      <c r="W19" s="2023" t="s">
        <v>764</v>
      </c>
      <c r="X19" s="1979" t="s">
        <v>313</v>
      </c>
      <c r="Y19" s="2053" t="s">
        <v>314</v>
      </c>
      <c r="Z19" s="3094"/>
      <c r="AA19" s="58"/>
      <c r="AB19" s="2767"/>
      <c r="AC19" s="58"/>
      <c r="AD19" s="58"/>
      <c r="AE19" s="58"/>
      <c r="AF19" s="58"/>
      <c r="AG19" s="1695"/>
      <c r="AH19" s="3126"/>
      <c r="AI19" s="3097"/>
      <c r="AJ19" s="3103"/>
      <c r="AK19" s="3097"/>
      <c r="AL19" s="3097"/>
      <c r="AM19" s="3097"/>
      <c r="AN19" s="3097"/>
      <c r="AO19" s="58"/>
      <c r="AP19" s="58"/>
      <c r="AR19" s="3120" t="s">
        <v>765</v>
      </c>
      <c r="AS19" s="3121"/>
    </row>
    <row r="20" spans="1:45" ht="13.5" customHeight="1" x14ac:dyDescent="0.25">
      <c r="A20" s="2767"/>
      <c r="B20" s="3132"/>
      <c r="C20" s="2784"/>
      <c r="D20" s="3071"/>
      <c r="E20" s="3071"/>
      <c r="F20" s="3071"/>
      <c r="G20" s="2783"/>
      <c r="H20" s="2783"/>
      <c r="I20" s="2371"/>
      <c r="J20" s="2453"/>
      <c r="K20" s="2783"/>
      <c r="L20" s="2783"/>
      <c r="M20" s="58"/>
      <c r="N20" s="458"/>
      <c r="O20" s="3130"/>
      <c r="P20" s="3093"/>
      <c r="Q20" s="2442" t="s">
        <v>760</v>
      </c>
      <c r="R20" s="3091"/>
      <c r="S20" s="3091"/>
      <c r="T20" s="3091" t="str">
        <f>CONCATENATE("►►(",TEXT(S04_Emploi_B!B4,"0.00"),"), PARTIE B")</f>
        <v>►►(4.29), PARTIE B</v>
      </c>
      <c r="U20" s="2049"/>
      <c r="V20" s="158"/>
      <c r="W20" s="2023" t="s">
        <v>766</v>
      </c>
      <c r="X20" s="1979" t="s">
        <v>317</v>
      </c>
      <c r="Y20" s="2055" t="s">
        <v>319</v>
      </c>
      <c r="Z20" s="3094" t="s">
        <v>318</v>
      </c>
      <c r="AA20" s="58"/>
      <c r="AB20" s="2767"/>
      <c r="AC20" s="460"/>
      <c r="AD20" s="58"/>
      <c r="AE20" s="58"/>
      <c r="AF20" s="58"/>
      <c r="AG20" s="1695"/>
      <c r="AH20" s="3126"/>
      <c r="AI20" s="3097"/>
      <c r="AJ20" s="3103"/>
      <c r="AK20" s="3097"/>
      <c r="AL20" s="3097"/>
      <c r="AM20" s="3097"/>
      <c r="AN20" s="3097"/>
      <c r="AO20" s="457"/>
      <c r="AP20" s="457"/>
      <c r="AQ20" s="58" t="s">
        <v>767</v>
      </c>
      <c r="AR20" s="369"/>
      <c r="AS20" s="159"/>
    </row>
    <row r="21" spans="1:45" ht="13.5" customHeight="1" x14ac:dyDescent="0.35">
      <c r="A21" s="2767"/>
      <c r="B21" s="3132"/>
      <c r="C21" s="465"/>
      <c r="D21" s="2008"/>
      <c r="E21" s="2008"/>
      <c r="F21" s="2008"/>
      <c r="G21" s="462"/>
      <c r="H21" s="462"/>
      <c r="I21" s="2012"/>
      <c r="J21" s="2453"/>
      <c r="K21" s="2783"/>
      <c r="L21" s="58"/>
      <c r="M21" s="58"/>
      <c r="N21" s="2951" t="str">
        <f>CONCATENATE("1 Oui  ►(",TEXT(S04_Emploi_B!B4, "0.00"),") PARTIE B")</f>
        <v>1 Oui  ►(4.29) PARTIE B</v>
      </c>
      <c r="O21" s="3130"/>
      <c r="P21" s="2030"/>
      <c r="Q21" s="2035"/>
      <c r="R21" s="3091"/>
      <c r="S21" s="3091"/>
      <c r="T21" s="3091"/>
      <c r="U21" s="2050"/>
      <c r="V21" s="158" t="str">
        <f>CONCATENATE("1 Oui ►(",TEXT(AC4,"0.00"),")")</f>
        <v>1 Oui ►(4.20)</v>
      </c>
      <c r="W21" s="2023" t="s">
        <v>768</v>
      </c>
      <c r="X21" s="2368" t="s">
        <v>323</v>
      </c>
      <c r="Y21" s="2053"/>
      <c r="Z21" s="3094"/>
      <c r="AA21" s="58"/>
      <c r="AB21" s="2767"/>
      <c r="AC21" s="58"/>
      <c r="AD21" s="58"/>
      <c r="AE21" s="58"/>
      <c r="AF21" s="58"/>
      <c r="AG21" s="1695"/>
      <c r="AH21" s="3126"/>
      <c r="AI21" s="3097"/>
      <c r="AJ21" s="3103"/>
      <c r="AK21" s="3097"/>
      <c r="AL21" s="3097"/>
      <c r="AM21" s="3097"/>
      <c r="AN21" s="3097"/>
      <c r="AO21" s="457"/>
      <c r="AP21" s="457"/>
      <c r="AQ21" s="3100" t="s">
        <v>769</v>
      </c>
      <c r="AR21" s="3120" t="s">
        <v>770</v>
      </c>
      <c r="AS21" s="3121"/>
    </row>
    <row r="22" spans="1:45" ht="12.5" x14ac:dyDescent="0.25">
      <c r="A22" s="2767"/>
      <c r="B22" s="3132"/>
      <c r="C22" s="465"/>
      <c r="D22" s="2008"/>
      <c r="E22" s="2008"/>
      <c r="F22" s="2008"/>
      <c r="G22" s="462"/>
      <c r="H22" s="462"/>
      <c r="I22" s="2012"/>
      <c r="J22" s="58" t="s">
        <v>767</v>
      </c>
      <c r="K22" s="58" t="s">
        <v>767</v>
      </c>
      <c r="L22" s="58" t="s">
        <v>767</v>
      </c>
      <c r="M22" s="58" t="s">
        <v>767</v>
      </c>
      <c r="N22" s="2951"/>
      <c r="O22" s="3130"/>
      <c r="P22" s="2030" t="s">
        <v>771</v>
      </c>
      <c r="Q22" s="2036" t="str">
        <f>CONCATENATE("►►(",TEXT(S04_Emploi_B!B4, "0.00"),"), PARTIE B")</f>
        <v>►►(4.29), PARTIE B</v>
      </c>
      <c r="R22" s="2030" t="str">
        <f>CONCATENATE("1 Oui ►(",TEXT(T4,"0.00"),")")</f>
        <v>1 Oui ►(4.15)</v>
      </c>
      <c r="S22" s="2030" t="s">
        <v>771</v>
      </c>
      <c r="T22" s="2042"/>
      <c r="U22" s="2017"/>
      <c r="V22" s="158" t="s">
        <v>494</v>
      </c>
      <c r="W22" s="2023" t="s">
        <v>772</v>
      </c>
      <c r="X22" s="2368" t="s">
        <v>326</v>
      </c>
      <c r="Y22" s="2056"/>
      <c r="Z22" s="2447" t="s">
        <v>327</v>
      </c>
      <c r="AA22" s="58"/>
      <c r="AB22" s="2767"/>
      <c r="AC22" s="461"/>
      <c r="AD22" s="58"/>
      <c r="AE22" s="462"/>
      <c r="AF22" s="459"/>
      <c r="AG22" s="1782"/>
      <c r="AH22" s="3126"/>
      <c r="AI22" s="3097"/>
      <c r="AJ22" s="3103"/>
      <c r="AK22" s="3097"/>
      <c r="AL22" s="3097"/>
      <c r="AM22" s="3097"/>
      <c r="AN22" s="3097"/>
      <c r="AO22" s="58"/>
      <c r="AP22" s="58"/>
      <c r="AQ22" s="3100"/>
      <c r="AR22" s="3120"/>
      <c r="AS22" s="3121"/>
    </row>
    <row r="23" spans="1:45" ht="12.5" x14ac:dyDescent="0.25">
      <c r="A23" s="2767"/>
      <c r="B23" s="3132"/>
      <c r="C23" s="465"/>
      <c r="D23" s="2008"/>
      <c r="E23" s="2008"/>
      <c r="F23" s="2008"/>
      <c r="G23" s="462"/>
      <c r="H23" s="462"/>
      <c r="I23" s="2012"/>
      <c r="J23" s="58" t="s">
        <v>773</v>
      </c>
      <c r="K23" s="58" t="s">
        <v>773</v>
      </c>
      <c r="L23" s="58" t="s">
        <v>773</v>
      </c>
      <c r="M23" s="58" t="s">
        <v>773</v>
      </c>
      <c r="N23" s="461" t="str">
        <f>CONCATENATE("2 Non ")</f>
        <v xml:space="preserve">2 Non </v>
      </c>
      <c r="O23" s="3130"/>
      <c r="P23" s="2030" t="str">
        <f>CONCATENATE("2 Non ►(",TEXT(R4,"0.00"),")")</f>
        <v>2 Non ►(4.13)</v>
      </c>
      <c r="Q23" s="2037"/>
      <c r="R23" s="3111" t="s">
        <v>240</v>
      </c>
      <c r="S23" s="3111" t="str">
        <f>CONCATENATE("2 Non ►(",TEXT(U4,"0.00"),")")</f>
        <v>2 Non ►(4.16)</v>
      </c>
      <c r="T23" s="2043"/>
      <c r="U23" s="2017"/>
      <c r="V23" s="2508"/>
      <c r="W23" s="2022" t="s">
        <v>774</v>
      </c>
      <c r="X23" s="2368" t="s">
        <v>330</v>
      </c>
      <c r="Y23" s="2056"/>
      <c r="Z23" s="2053" t="s">
        <v>332</v>
      </c>
      <c r="AA23" s="186"/>
      <c r="AB23" s="2767"/>
      <c r="AC23" s="461"/>
      <c r="AD23" s="58"/>
      <c r="AE23" s="462"/>
      <c r="AF23" s="459"/>
      <c r="AG23" s="1782"/>
      <c r="AH23" s="3126"/>
      <c r="AI23" s="3097"/>
      <c r="AJ23" s="3103"/>
      <c r="AK23" s="3097"/>
      <c r="AL23" s="3097"/>
      <c r="AM23" s="3097"/>
      <c r="AN23" s="3097"/>
      <c r="AO23" s="461"/>
      <c r="AP23" s="461"/>
      <c r="AQ23" s="3100"/>
      <c r="AR23" s="3120"/>
      <c r="AS23" s="3121"/>
    </row>
    <row r="24" spans="1:45" ht="13.5" customHeight="1" x14ac:dyDescent="0.25">
      <c r="A24" s="2767"/>
      <c r="B24" s="3132"/>
      <c r="C24" s="979"/>
      <c r="D24" s="2009"/>
      <c r="E24" s="2010"/>
      <c r="F24" s="2010"/>
      <c r="G24" s="980"/>
      <c r="H24" s="980"/>
      <c r="I24" s="2013"/>
      <c r="J24" s="58"/>
      <c r="K24" s="347"/>
      <c r="L24" s="58"/>
      <c r="M24" s="58"/>
      <c r="N24" s="58"/>
      <c r="O24" s="3130"/>
      <c r="P24" s="2031"/>
      <c r="Q24" s="2038"/>
      <c r="R24" s="3111"/>
      <c r="S24" s="3111"/>
      <c r="T24" s="2031"/>
      <c r="U24" s="2017"/>
      <c r="V24" s="411"/>
      <c r="W24" s="2027" t="s">
        <v>775</v>
      </c>
      <c r="X24" s="2057"/>
      <c r="Y24" s="2024"/>
      <c r="Z24" s="2053"/>
      <c r="AA24" s="462"/>
      <c r="AB24" s="2767"/>
      <c r="AC24" s="362"/>
      <c r="AD24" s="464"/>
      <c r="AE24" s="464"/>
      <c r="AF24" s="464"/>
      <c r="AG24" s="1783"/>
      <c r="AH24" s="3126"/>
      <c r="AI24" s="3097"/>
      <c r="AJ24" s="3103"/>
      <c r="AK24" s="3097"/>
      <c r="AL24" s="3097"/>
      <c r="AM24" s="3097"/>
      <c r="AN24" s="3097"/>
      <c r="AO24" s="58"/>
      <c r="AP24" s="3136" t="s">
        <v>519</v>
      </c>
      <c r="AQ24" s="3124"/>
      <c r="AR24" s="3134" t="str">
        <f>CONCATENATE("►►(",TEXT(S04_Emploi_B!B4,"0.00"),")", " PARTIE B")</f>
        <v>►►(4.29) PARTIE B</v>
      </c>
      <c r="AS24" s="3135"/>
    </row>
    <row r="25" spans="1:45" ht="12.5" x14ac:dyDescent="0.25">
      <c r="A25" s="2767"/>
      <c r="B25" s="3132"/>
      <c r="C25" s="2508"/>
      <c r="D25" s="2424"/>
      <c r="E25" s="2010"/>
      <c r="F25" s="2010"/>
      <c r="G25" s="2025"/>
      <c r="H25" s="2025"/>
      <c r="I25" s="2424"/>
      <c r="J25" s="58"/>
      <c r="K25" s="347"/>
      <c r="L25" s="58"/>
      <c r="M25" s="58"/>
      <c r="N25" s="58"/>
      <c r="O25" s="3130"/>
      <c r="P25" s="2031"/>
      <c r="Q25" s="2038"/>
      <c r="R25" s="2445"/>
      <c r="S25" s="2445"/>
      <c r="T25" s="2031"/>
      <c r="U25" s="2017"/>
      <c r="V25" s="411"/>
      <c r="W25" s="2022" t="s">
        <v>776</v>
      </c>
      <c r="X25" s="2368"/>
      <c r="Y25" s="2056"/>
      <c r="Z25" s="2053"/>
      <c r="AA25" s="462"/>
      <c r="AB25" s="2767"/>
      <c r="AC25" s="58"/>
      <c r="AD25" s="462"/>
      <c r="AE25" s="462"/>
      <c r="AF25" s="462"/>
      <c r="AG25" s="1861"/>
      <c r="AH25" s="3127"/>
      <c r="AI25" s="3098"/>
      <c r="AJ25" s="3104"/>
      <c r="AK25" s="3098"/>
      <c r="AL25" s="3098"/>
      <c r="AM25" s="3098"/>
      <c r="AN25" s="3098"/>
      <c r="AO25" s="58"/>
      <c r="AP25" s="3136"/>
      <c r="AQ25" s="2443"/>
      <c r="AR25" s="582"/>
      <c r="AS25" s="2026"/>
    </row>
    <row r="26" spans="1:45" ht="12.5" x14ac:dyDescent="0.25">
      <c r="A26" s="2767"/>
      <c r="B26" s="3132"/>
      <c r="C26" s="2508"/>
      <c r="D26" s="2424"/>
      <c r="E26" s="2010"/>
      <c r="F26" s="2010"/>
      <c r="G26" s="2025"/>
      <c r="H26" s="2025"/>
      <c r="I26" s="2424"/>
      <c r="J26" s="58"/>
      <c r="K26" s="347"/>
      <c r="L26" s="58"/>
      <c r="M26" s="58"/>
      <c r="N26" s="58"/>
      <c r="O26" s="3130"/>
      <c r="P26" s="2032"/>
      <c r="Q26" s="2039"/>
      <c r="R26" s="2040"/>
      <c r="S26" s="2040"/>
      <c r="T26" s="2032"/>
      <c r="U26" s="2051"/>
      <c r="V26" s="411"/>
      <c r="W26" s="2027"/>
      <c r="X26" s="2368"/>
      <c r="Y26" s="2056"/>
      <c r="Z26" s="2053"/>
      <c r="AA26" s="462"/>
      <c r="AB26" s="2767"/>
      <c r="AC26" s="58"/>
      <c r="AD26" s="462"/>
      <c r="AE26" s="462"/>
      <c r="AF26" s="462"/>
      <c r="AG26" s="1861"/>
      <c r="AH26" s="3127"/>
      <c r="AI26" s="3098"/>
      <c r="AJ26" s="3104"/>
      <c r="AK26" s="3098"/>
      <c r="AL26" s="3098"/>
      <c r="AM26" s="3098"/>
      <c r="AN26" s="3098"/>
      <c r="AO26" s="58"/>
      <c r="AP26" s="3136"/>
      <c r="AQ26" s="2443"/>
      <c r="AR26" s="582"/>
      <c r="AS26" s="2026"/>
    </row>
    <row r="27" spans="1:45" ht="12.5" x14ac:dyDescent="0.25">
      <c r="A27" s="2768"/>
      <c r="B27" s="3133"/>
      <c r="C27" s="2345" t="s">
        <v>777</v>
      </c>
      <c r="D27" s="2011" t="s">
        <v>777</v>
      </c>
      <c r="E27" s="2011" t="s">
        <v>777</v>
      </c>
      <c r="F27" s="2011" t="s">
        <v>777</v>
      </c>
      <c r="G27" s="2345" t="s">
        <v>777</v>
      </c>
      <c r="H27" s="2345" t="s">
        <v>777</v>
      </c>
      <c r="I27" s="2011" t="s">
        <v>777</v>
      </c>
      <c r="J27" s="265" t="s">
        <v>346</v>
      </c>
      <c r="K27" s="183" t="s">
        <v>346</v>
      </c>
      <c r="L27" s="265" t="s">
        <v>346</v>
      </c>
      <c r="M27" s="183" t="s">
        <v>346</v>
      </c>
      <c r="N27" s="467" t="s">
        <v>346</v>
      </c>
      <c r="O27" s="2768"/>
      <c r="P27" s="2014" t="s">
        <v>346</v>
      </c>
      <c r="Q27" s="2014" t="s">
        <v>346</v>
      </c>
      <c r="R27" s="1865" t="s">
        <v>346</v>
      </c>
      <c r="S27" s="1865" t="s">
        <v>346</v>
      </c>
      <c r="T27" s="2014" t="s">
        <v>346</v>
      </c>
      <c r="U27" s="2045" t="s">
        <v>346</v>
      </c>
      <c r="V27" s="418" t="s">
        <v>346</v>
      </c>
      <c r="W27" s="2148" t="s">
        <v>346</v>
      </c>
      <c r="X27" s="2011" t="s">
        <v>346</v>
      </c>
      <c r="Y27" s="1908" t="s">
        <v>346</v>
      </c>
      <c r="Z27" s="1908" t="s">
        <v>346</v>
      </c>
      <c r="AA27" s="467" t="s">
        <v>346</v>
      </c>
      <c r="AB27" s="2768"/>
      <c r="AC27" s="467" t="s">
        <v>346</v>
      </c>
      <c r="AD27" s="183" t="s">
        <v>347</v>
      </c>
      <c r="AE27" s="183" t="s">
        <v>347</v>
      </c>
      <c r="AF27" s="468" t="s">
        <v>346</v>
      </c>
      <c r="AG27" s="1784" t="s">
        <v>346</v>
      </c>
      <c r="AH27" s="3128"/>
      <c r="AI27" s="3099"/>
      <c r="AJ27" s="3105"/>
      <c r="AK27" s="3099"/>
      <c r="AL27" s="3099"/>
      <c r="AM27" s="3099"/>
      <c r="AN27" s="3099"/>
      <c r="AO27" s="467" t="s">
        <v>346</v>
      </c>
      <c r="AP27" s="3137"/>
      <c r="AQ27" s="467" t="s">
        <v>346</v>
      </c>
      <c r="AR27" s="467" t="s">
        <v>778</v>
      </c>
      <c r="AS27" s="467" t="s">
        <v>779</v>
      </c>
    </row>
    <row r="28" spans="1:45" ht="14.25" customHeight="1" x14ac:dyDescent="0.35">
      <c r="A28" s="429" t="s">
        <v>680</v>
      </c>
      <c r="B28" s="469"/>
      <c r="C28" s="982"/>
      <c r="D28" s="982"/>
      <c r="E28" s="982"/>
      <c r="F28" s="982"/>
      <c r="G28" s="983"/>
      <c r="H28" s="984"/>
      <c r="I28" s="1862"/>
      <c r="J28" s="470"/>
      <c r="K28" s="470"/>
      <c r="L28" s="470"/>
      <c r="M28" s="470"/>
      <c r="N28" s="470"/>
      <c r="O28" s="429" t="s">
        <v>680</v>
      </c>
      <c r="P28" s="470"/>
      <c r="Q28" s="476"/>
      <c r="R28" s="470"/>
      <c r="S28" s="470"/>
      <c r="T28" s="470"/>
      <c r="U28" s="469"/>
      <c r="V28" s="472"/>
      <c r="W28" s="2147"/>
      <c r="X28" s="424"/>
      <c r="Y28" s="473"/>
      <c r="Z28" s="473"/>
      <c r="AA28" s="470"/>
      <c r="AB28" s="429" t="s">
        <v>680</v>
      </c>
      <c r="AC28" s="473"/>
      <c r="AD28" s="470"/>
      <c r="AE28" s="470"/>
      <c r="AF28" s="470"/>
      <c r="AG28" s="470"/>
      <c r="AH28" s="469"/>
      <c r="AI28" s="470"/>
      <c r="AJ28" s="469"/>
      <c r="AK28" s="470"/>
      <c r="AL28" s="470"/>
      <c r="AM28" s="469"/>
      <c r="AN28" s="470"/>
      <c r="AO28" s="470"/>
      <c r="AP28" s="470"/>
      <c r="AQ28" s="470"/>
      <c r="AR28" s="470"/>
      <c r="AS28" s="470"/>
    </row>
    <row r="29" spans="1:45" ht="14.25" customHeight="1" x14ac:dyDescent="0.35">
      <c r="A29" s="439" t="s">
        <v>681</v>
      </c>
      <c r="B29" s="474"/>
      <c r="C29" s="985"/>
      <c r="D29" s="985"/>
      <c r="E29" s="985"/>
      <c r="F29" s="985"/>
      <c r="G29" s="985"/>
      <c r="H29" s="986"/>
      <c r="I29" s="1863"/>
      <c r="J29" s="475"/>
      <c r="K29" s="475"/>
      <c r="L29" s="475"/>
      <c r="M29" s="475"/>
      <c r="N29" s="475"/>
      <c r="O29" s="439" t="s">
        <v>681</v>
      </c>
      <c r="P29" s="475"/>
      <c r="Q29" s="476"/>
      <c r="R29" s="475"/>
      <c r="S29" s="475"/>
      <c r="T29" s="475"/>
      <c r="U29" s="474"/>
      <c r="V29" s="477"/>
      <c r="W29" s="2028"/>
      <c r="X29" s="434"/>
      <c r="Y29" s="478"/>
      <c r="Z29" s="478"/>
      <c r="AA29" s="475"/>
      <c r="AB29" s="439" t="s">
        <v>681</v>
      </c>
      <c r="AC29" s="478"/>
      <c r="AD29" s="475"/>
      <c r="AE29" s="475"/>
      <c r="AF29" s="475"/>
      <c r="AG29" s="475"/>
      <c r="AH29" s="474"/>
      <c r="AI29" s="475"/>
      <c r="AJ29" s="474"/>
      <c r="AK29" s="475"/>
      <c r="AL29" s="475"/>
      <c r="AM29" s="474"/>
      <c r="AN29" s="475"/>
      <c r="AO29" s="475"/>
      <c r="AP29" s="475"/>
      <c r="AQ29" s="475"/>
      <c r="AR29" s="475"/>
      <c r="AS29" s="475"/>
    </row>
    <row r="30" spans="1:45" ht="14.25" customHeight="1" x14ac:dyDescent="0.35">
      <c r="A30" s="439">
        <v>3</v>
      </c>
      <c r="B30" s="474"/>
      <c r="C30" s="985"/>
      <c r="D30" s="985"/>
      <c r="E30" s="985"/>
      <c r="F30" s="985"/>
      <c r="G30" s="985"/>
      <c r="H30" s="986"/>
      <c r="I30" s="1863"/>
      <c r="J30" s="475"/>
      <c r="K30" s="475"/>
      <c r="L30" s="475"/>
      <c r="M30" s="475"/>
      <c r="N30" s="475"/>
      <c r="O30" s="439">
        <v>3</v>
      </c>
      <c r="P30" s="475"/>
      <c r="Q30" s="478"/>
      <c r="R30" s="475"/>
      <c r="S30" s="475"/>
      <c r="T30" s="475"/>
      <c r="U30" s="474"/>
      <c r="V30" s="477"/>
      <c r="W30" s="1890"/>
      <c r="X30" s="478"/>
      <c r="Y30" s="478"/>
      <c r="Z30" s="478"/>
      <c r="AA30" s="475"/>
      <c r="AB30" s="439">
        <v>3</v>
      </c>
      <c r="AC30" s="478"/>
      <c r="AD30" s="475"/>
      <c r="AE30" s="475"/>
      <c r="AF30" s="475"/>
      <c r="AG30" s="475"/>
      <c r="AH30" s="474"/>
      <c r="AI30" s="475"/>
      <c r="AJ30" s="474"/>
      <c r="AK30" s="475"/>
      <c r="AL30" s="475"/>
      <c r="AM30" s="474"/>
      <c r="AN30" s="475"/>
      <c r="AO30" s="475"/>
      <c r="AP30" s="475"/>
      <c r="AQ30" s="475"/>
      <c r="AR30" s="475"/>
      <c r="AS30" s="475"/>
    </row>
    <row r="31" spans="1:45" ht="14.25" customHeight="1" x14ac:dyDescent="0.35">
      <c r="A31" s="479">
        <v>4</v>
      </c>
      <c r="B31" s="480"/>
      <c r="C31" s="987"/>
      <c r="D31" s="987"/>
      <c r="E31" s="987"/>
      <c r="F31" s="987"/>
      <c r="G31" s="987"/>
      <c r="H31" s="988"/>
      <c r="I31" s="1864"/>
      <c r="J31" s="481"/>
      <c r="K31" s="481"/>
      <c r="L31" s="481"/>
      <c r="M31" s="481"/>
      <c r="N31" s="481"/>
      <c r="O31" s="479">
        <v>4</v>
      </c>
      <c r="P31" s="481"/>
      <c r="Q31" s="471"/>
      <c r="R31" s="481"/>
      <c r="S31" s="481"/>
      <c r="T31" s="481"/>
      <c r="U31" s="480"/>
      <c r="V31" s="482"/>
      <c r="W31" s="1891"/>
      <c r="X31" s="478"/>
      <c r="Y31" s="478"/>
      <c r="Z31" s="478"/>
      <c r="AA31" s="481"/>
      <c r="AB31" s="479">
        <v>4</v>
      </c>
      <c r="AC31" s="478"/>
      <c r="AD31" s="481"/>
      <c r="AE31" s="481"/>
      <c r="AF31" s="481"/>
      <c r="AG31" s="481"/>
      <c r="AH31" s="480"/>
      <c r="AI31" s="481"/>
      <c r="AJ31" s="480"/>
      <c r="AK31" s="481"/>
      <c r="AL31" s="481"/>
      <c r="AM31" s="480"/>
      <c r="AN31" s="481"/>
      <c r="AO31" s="481"/>
      <c r="AP31" s="481"/>
      <c r="AQ31" s="481"/>
      <c r="AR31" s="481"/>
      <c r="AS31" s="481"/>
    </row>
    <row r="32" spans="1:45" ht="14.25" customHeight="1" x14ac:dyDescent="0.35">
      <c r="A32" s="479">
        <v>5</v>
      </c>
      <c r="B32" s="469"/>
      <c r="C32" s="983"/>
      <c r="D32" s="983"/>
      <c r="E32" s="983"/>
      <c r="F32" s="983"/>
      <c r="G32" s="983"/>
      <c r="H32" s="984"/>
      <c r="I32" s="1862"/>
      <c r="J32" s="470"/>
      <c r="K32" s="470"/>
      <c r="L32" s="470"/>
      <c r="M32" s="470"/>
      <c r="N32" s="470"/>
      <c r="O32" s="479">
        <v>5</v>
      </c>
      <c r="P32" s="470"/>
      <c r="Q32" s="476"/>
      <c r="R32" s="470"/>
      <c r="S32" s="470"/>
      <c r="T32" s="470"/>
      <c r="U32" s="469"/>
      <c r="V32" s="472"/>
      <c r="W32" s="1891"/>
      <c r="X32" s="478"/>
      <c r="Y32" s="478"/>
      <c r="Z32" s="478"/>
      <c r="AA32" s="470"/>
      <c r="AB32" s="479">
        <v>5</v>
      </c>
      <c r="AC32" s="478"/>
      <c r="AD32" s="470"/>
      <c r="AE32" s="470"/>
      <c r="AF32" s="470"/>
      <c r="AG32" s="470"/>
      <c r="AH32" s="469"/>
      <c r="AI32" s="470"/>
      <c r="AJ32" s="469"/>
      <c r="AK32" s="470"/>
      <c r="AL32" s="470"/>
      <c r="AM32" s="469"/>
      <c r="AN32" s="470"/>
      <c r="AO32" s="470"/>
      <c r="AP32" s="470"/>
      <c r="AQ32" s="470"/>
      <c r="AR32" s="470"/>
      <c r="AS32" s="470"/>
    </row>
    <row r="33" spans="1:45" ht="14.25" customHeight="1" x14ac:dyDescent="0.35">
      <c r="A33" s="440">
        <v>6</v>
      </c>
      <c r="B33" s="474"/>
      <c r="C33" s="985"/>
      <c r="D33" s="985"/>
      <c r="E33" s="985"/>
      <c r="F33" s="985"/>
      <c r="G33" s="985"/>
      <c r="H33" s="986"/>
      <c r="I33" s="1863"/>
      <c r="J33" s="475"/>
      <c r="K33" s="475"/>
      <c r="L33" s="475"/>
      <c r="M33" s="475"/>
      <c r="N33" s="475"/>
      <c r="O33" s="440">
        <v>6</v>
      </c>
      <c r="P33" s="475"/>
      <c r="Q33" s="476"/>
      <c r="R33" s="475"/>
      <c r="S33" s="475"/>
      <c r="T33" s="475"/>
      <c r="U33" s="474"/>
      <c r="V33" s="477"/>
      <c r="W33" s="1891"/>
      <c r="X33" s="478"/>
      <c r="Y33" s="478"/>
      <c r="Z33" s="478"/>
      <c r="AA33" s="475"/>
      <c r="AB33" s="440">
        <v>6</v>
      </c>
      <c r="AC33" s="478"/>
      <c r="AD33" s="475"/>
      <c r="AE33" s="475"/>
      <c r="AF33" s="475"/>
      <c r="AG33" s="475"/>
      <c r="AH33" s="474"/>
      <c r="AI33" s="475"/>
      <c r="AJ33" s="474"/>
      <c r="AK33" s="475"/>
      <c r="AL33" s="475"/>
      <c r="AM33" s="474"/>
      <c r="AN33" s="475"/>
      <c r="AO33" s="475"/>
      <c r="AP33" s="475"/>
      <c r="AQ33" s="475"/>
      <c r="AR33" s="475"/>
      <c r="AS33" s="475"/>
    </row>
    <row r="34" spans="1:45" ht="14.25" customHeight="1" x14ac:dyDescent="0.35">
      <c r="A34" s="440">
        <v>7</v>
      </c>
      <c r="B34" s="474"/>
      <c r="C34" s="985"/>
      <c r="D34" s="985"/>
      <c r="E34" s="985"/>
      <c r="F34" s="985"/>
      <c r="G34" s="985"/>
      <c r="H34" s="986"/>
      <c r="I34" s="1863"/>
      <c r="J34" s="475"/>
      <c r="K34" s="475"/>
      <c r="L34" s="475"/>
      <c r="M34" s="475"/>
      <c r="N34" s="475"/>
      <c r="O34" s="440">
        <v>7</v>
      </c>
      <c r="P34" s="475"/>
      <c r="Q34" s="476"/>
      <c r="R34" s="475"/>
      <c r="S34" s="475"/>
      <c r="T34" s="475"/>
      <c r="U34" s="474"/>
      <c r="V34" s="477"/>
      <c r="W34" s="1891"/>
      <c r="X34" s="478"/>
      <c r="Y34" s="478"/>
      <c r="Z34" s="478"/>
      <c r="AA34" s="475"/>
      <c r="AB34" s="440">
        <v>7</v>
      </c>
      <c r="AC34" s="478"/>
      <c r="AD34" s="475"/>
      <c r="AE34" s="475"/>
      <c r="AF34" s="475"/>
      <c r="AG34" s="475"/>
      <c r="AH34" s="474"/>
      <c r="AI34" s="475"/>
      <c r="AJ34" s="474"/>
      <c r="AK34" s="475"/>
      <c r="AL34" s="475"/>
      <c r="AM34" s="474"/>
      <c r="AN34" s="475"/>
      <c r="AO34" s="475"/>
      <c r="AP34" s="475"/>
      <c r="AQ34" s="475"/>
      <c r="AR34" s="475"/>
      <c r="AS34" s="475"/>
    </row>
    <row r="35" spans="1:45" ht="14.25" customHeight="1" x14ac:dyDescent="0.35">
      <c r="A35" s="441">
        <v>8</v>
      </c>
      <c r="B35" s="474"/>
      <c r="C35" s="985"/>
      <c r="D35" s="985"/>
      <c r="E35" s="985"/>
      <c r="F35" s="985"/>
      <c r="G35" s="985"/>
      <c r="H35" s="986"/>
      <c r="I35" s="1863"/>
      <c r="J35" s="475"/>
      <c r="K35" s="475"/>
      <c r="L35" s="475"/>
      <c r="M35" s="475"/>
      <c r="N35" s="475"/>
      <c r="O35" s="441">
        <v>8</v>
      </c>
      <c r="P35" s="475"/>
      <c r="Q35" s="478"/>
      <c r="R35" s="475"/>
      <c r="S35" s="475"/>
      <c r="T35" s="475"/>
      <c r="U35" s="474"/>
      <c r="V35" s="477"/>
      <c r="W35" s="1891"/>
      <c r="X35" s="478"/>
      <c r="Y35" s="478"/>
      <c r="Z35" s="478"/>
      <c r="AA35" s="475"/>
      <c r="AB35" s="441">
        <v>8</v>
      </c>
      <c r="AC35" s="478"/>
      <c r="AD35" s="475"/>
      <c r="AE35" s="475"/>
      <c r="AF35" s="475"/>
      <c r="AG35" s="475"/>
      <c r="AH35" s="474"/>
      <c r="AI35" s="475"/>
      <c r="AJ35" s="474"/>
      <c r="AK35" s="475"/>
      <c r="AL35" s="475"/>
      <c r="AM35" s="474"/>
      <c r="AN35" s="475"/>
      <c r="AO35" s="475"/>
      <c r="AP35" s="475"/>
      <c r="AQ35" s="475"/>
      <c r="AR35" s="475"/>
      <c r="AS35" s="475"/>
    </row>
    <row r="36" spans="1:45" ht="14.25" customHeight="1" x14ac:dyDescent="0.35">
      <c r="A36" s="440">
        <v>9</v>
      </c>
      <c r="B36" s="480"/>
      <c r="C36" s="987"/>
      <c r="D36" s="987"/>
      <c r="E36" s="987"/>
      <c r="F36" s="987"/>
      <c r="G36" s="987"/>
      <c r="H36" s="988"/>
      <c r="I36" s="1864"/>
      <c r="J36" s="481"/>
      <c r="K36" s="481"/>
      <c r="L36" s="481"/>
      <c r="M36" s="481"/>
      <c r="N36" s="481"/>
      <c r="O36" s="440">
        <v>9</v>
      </c>
      <c r="P36" s="481"/>
      <c r="Q36" s="471"/>
      <c r="R36" s="481"/>
      <c r="S36" s="481"/>
      <c r="T36" s="481"/>
      <c r="U36" s="480"/>
      <c r="V36" s="482"/>
      <c r="W36" s="1891"/>
      <c r="X36" s="478"/>
      <c r="Y36" s="478"/>
      <c r="Z36" s="478"/>
      <c r="AA36" s="481"/>
      <c r="AB36" s="440">
        <v>9</v>
      </c>
      <c r="AC36" s="478"/>
      <c r="AD36" s="481"/>
      <c r="AE36" s="481"/>
      <c r="AF36" s="481"/>
      <c r="AG36" s="481"/>
      <c r="AH36" s="480"/>
      <c r="AI36" s="481"/>
      <c r="AJ36" s="480"/>
      <c r="AK36" s="481"/>
      <c r="AL36" s="481"/>
      <c r="AM36" s="480"/>
      <c r="AN36" s="481"/>
      <c r="AO36" s="481"/>
      <c r="AP36" s="481"/>
      <c r="AQ36" s="481"/>
      <c r="AR36" s="481"/>
      <c r="AS36" s="481"/>
    </row>
    <row r="37" spans="1:45" ht="14.25" customHeight="1" x14ac:dyDescent="0.35">
      <c r="A37" s="483">
        <v>10</v>
      </c>
      <c r="B37" s="469"/>
      <c r="C37" s="983"/>
      <c r="D37" s="983"/>
      <c r="E37" s="983"/>
      <c r="F37" s="983"/>
      <c r="G37" s="983"/>
      <c r="H37" s="984"/>
      <c r="I37" s="1862"/>
      <c r="J37" s="470"/>
      <c r="K37" s="470"/>
      <c r="L37" s="470"/>
      <c r="M37" s="470"/>
      <c r="N37" s="470"/>
      <c r="O37" s="483">
        <v>10</v>
      </c>
      <c r="P37" s="470"/>
      <c r="Q37" s="476"/>
      <c r="R37" s="470"/>
      <c r="S37" s="470"/>
      <c r="T37" s="470"/>
      <c r="U37" s="469"/>
      <c r="V37" s="472"/>
      <c r="W37" s="1891"/>
      <c r="X37" s="478"/>
      <c r="Y37" s="478"/>
      <c r="Z37" s="478"/>
      <c r="AA37" s="470"/>
      <c r="AB37" s="483">
        <v>10</v>
      </c>
      <c r="AC37" s="471"/>
      <c r="AD37" s="470"/>
      <c r="AE37" s="470"/>
      <c r="AF37" s="470"/>
      <c r="AG37" s="470"/>
      <c r="AH37" s="469"/>
      <c r="AI37" s="470"/>
      <c r="AJ37" s="469"/>
      <c r="AK37" s="470"/>
      <c r="AL37" s="470"/>
      <c r="AM37" s="469"/>
      <c r="AN37" s="470"/>
      <c r="AO37" s="470"/>
      <c r="AP37" s="470"/>
      <c r="AQ37" s="470"/>
      <c r="AR37" s="470"/>
      <c r="AS37" s="470"/>
    </row>
    <row r="38" spans="1:45" ht="14.25" customHeight="1" x14ac:dyDescent="0.35">
      <c r="A38" s="439">
        <v>11</v>
      </c>
      <c r="B38" s="474"/>
      <c r="C38" s="985"/>
      <c r="D38" s="985"/>
      <c r="E38" s="985"/>
      <c r="F38" s="985"/>
      <c r="G38" s="985"/>
      <c r="H38" s="986"/>
      <c r="I38" s="1863"/>
      <c r="J38" s="475"/>
      <c r="K38" s="475"/>
      <c r="L38" s="475"/>
      <c r="M38" s="475"/>
      <c r="N38" s="475"/>
      <c r="O38" s="439">
        <v>11</v>
      </c>
      <c r="P38" s="475"/>
      <c r="Q38" s="476"/>
      <c r="R38" s="475"/>
      <c r="S38" s="475"/>
      <c r="T38" s="475"/>
      <c r="U38" s="474"/>
      <c r="V38" s="477"/>
      <c r="W38" s="1891"/>
      <c r="X38" s="478"/>
      <c r="Y38" s="478"/>
      <c r="Z38" s="478"/>
      <c r="AA38" s="475"/>
      <c r="AB38" s="439">
        <v>11</v>
      </c>
      <c r="AC38" s="478"/>
      <c r="AD38" s="475"/>
      <c r="AE38" s="475"/>
      <c r="AF38" s="475"/>
      <c r="AG38" s="475"/>
      <c r="AH38" s="474"/>
      <c r="AI38" s="475"/>
      <c r="AJ38" s="474"/>
      <c r="AK38" s="475"/>
      <c r="AL38" s="475"/>
      <c r="AM38" s="474"/>
      <c r="AN38" s="475"/>
      <c r="AO38" s="475"/>
      <c r="AP38" s="475"/>
      <c r="AQ38" s="475"/>
      <c r="AR38" s="475"/>
      <c r="AS38" s="475"/>
    </row>
    <row r="39" spans="1:45" ht="14.25" customHeight="1" x14ac:dyDescent="0.35">
      <c r="A39" s="439">
        <v>12</v>
      </c>
      <c r="B39" s="474"/>
      <c r="C39" s="985"/>
      <c r="D39" s="985"/>
      <c r="E39" s="985"/>
      <c r="F39" s="985"/>
      <c r="G39" s="985"/>
      <c r="H39" s="986"/>
      <c r="I39" s="1863"/>
      <c r="J39" s="475"/>
      <c r="K39" s="475"/>
      <c r="L39" s="475"/>
      <c r="M39" s="475"/>
      <c r="N39" s="475"/>
      <c r="O39" s="439">
        <v>12</v>
      </c>
      <c r="P39" s="475"/>
      <c r="Q39" s="476"/>
      <c r="R39" s="475"/>
      <c r="S39" s="475"/>
      <c r="T39" s="475"/>
      <c r="U39" s="474"/>
      <c r="V39" s="477"/>
      <c r="W39" s="1891"/>
      <c r="X39" s="478"/>
      <c r="Y39" s="478"/>
      <c r="Z39" s="478"/>
      <c r="AA39" s="475"/>
      <c r="AB39" s="439">
        <v>12</v>
      </c>
      <c r="AC39" s="478"/>
      <c r="AD39" s="475"/>
      <c r="AE39" s="475"/>
      <c r="AF39" s="475"/>
      <c r="AG39" s="475"/>
      <c r="AH39" s="474"/>
      <c r="AI39" s="475"/>
      <c r="AJ39" s="474"/>
      <c r="AK39" s="475"/>
      <c r="AL39" s="475"/>
      <c r="AM39" s="474"/>
      <c r="AN39" s="475"/>
      <c r="AO39" s="475"/>
      <c r="AP39" s="475"/>
      <c r="AQ39" s="475"/>
      <c r="AR39" s="475"/>
      <c r="AS39" s="475"/>
    </row>
    <row r="40" spans="1:45" ht="14.25" customHeight="1" x14ac:dyDescent="0.35">
      <c r="A40" s="439">
        <v>13</v>
      </c>
      <c r="B40" s="474"/>
      <c r="C40" s="985"/>
      <c r="D40" s="985"/>
      <c r="E40" s="985"/>
      <c r="F40" s="985"/>
      <c r="G40" s="985"/>
      <c r="H40" s="986"/>
      <c r="I40" s="1863"/>
      <c r="J40" s="475"/>
      <c r="K40" s="475"/>
      <c r="L40" s="475"/>
      <c r="M40" s="475"/>
      <c r="N40" s="475"/>
      <c r="O40" s="439">
        <v>13</v>
      </c>
      <c r="P40" s="475"/>
      <c r="Q40" s="478"/>
      <c r="R40" s="475"/>
      <c r="S40" s="475"/>
      <c r="T40" s="475"/>
      <c r="U40" s="474"/>
      <c r="V40" s="477"/>
      <c r="W40" s="1891"/>
      <c r="X40" s="478"/>
      <c r="Y40" s="478"/>
      <c r="Z40" s="478"/>
      <c r="AA40" s="475"/>
      <c r="AB40" s="439">
        <v>13</v>
      </c>
      <c r="AC40" s="478"/>
      <c r="AD40" s="475"/>
      <c r="AE40" s="475"/>
      <c r="AF40" s="475"/>
      <c r="AG40" s="475"/>
      <c r="AH40" s="474"/>
      <c r="AI40" s="475"/>
      <c r="AJ40" s="474"/>
      <c r="AK40" s="475"/>
      <c r="AL40" s="475"/>
      <c r="AM40" s="474"/>
      <c r="AN40" s="475"/>
      <c r="AO40" s="475"/>
      <c r="AP40" s="475"/>
      <c r="AQ40" s="475"/>
      <c r="AR40" s="475"/>
      <c r="AS40" s="475"/>
    </row>
    <row r="41" spans="1:45" ht="14.25" customHeight="1" x14ac:dyDescent="0.35">
      <c r="A41" s="479">
        <v>14</v>
      </c>
      <c r="B41" s="480"/>
      <c r="C41" s="987"/>
      <c r="D41" s="987"/>
      <c r="E41" s="987"/>
      <c r="F41" s="987"/>
      <c r="G41" s="987"/>
      <c r="H41" s="988"/>
      <c r="I41" s="1864"/>
      <c r="J41" s="481"/>
      <c r="K41" s="481"/>
      <c r="L41" s="481"/>
      <c r="M41" s="481"/>
      <c r="N41" s="481"/>
      <c r="O41" s="479">
        <v>14</v>
      </c>
      <c r="P41" s="481"/>
      <c r="Q41" s="478"/>
      <c r="R41" s="481"/>
      <c r="S41" s="481"/>
      <c r="T41" s="481"/>
      <c r="U41" s="480"/>
      <c r="V41" s="482"/>
      <c r="W41" s="1891"/>
      <c r="X41" s="478"/>
      <c r="Y41" s="478"/>
      <c r="Z41" s="478"/>
      <c r="AA41" s="481"/>
      <c r="AB41" s="479">
        <v>14</v>
      </c>
      <c r="AC41" s="478"/>
      <c r="AD41" s="481"/>
      <c r="AE41" s="481"/>
      <c r="AF41" s="481"/>
      <c r="AG41" s="481"/>
      <c r="AH41" s="480"/>
      <c r="AI41" s="481"/>
      <c r="AJ41" s="480"/>
      <c r="AK41" s="481"/>
      <c r="AL41" s="481"/>
      <c r="AM41" s="480"/>
      <c r="AN41" s="481"/>
      <c r="AO41" s="481"/>
      <c r="AP41" s="481"/>
      <c r="AQ41" s="481"/>
      <c r="AR41" s="481"/>
      <c r="AS41" s="481"/>
    </row>
    <row r="42" spans="1:45" ht="14.25" customHeight="1" x14ac:dyDescent="0.35">
      <c r="A42" s="479">
        <v>15</v>
      </c>
      <c r="B42" s="480"/>
      <c r="C42" s="987"/>
      <c r="D42" s="987"/>
      <c r="E42" s="987"/>
      <c r="F42" s="987"/>
      <c r="G42" s="987"/>
      <c r="H42" s="988"/>
      <c r="I42" s="1864"/>
      <c r="J42" s="481"/>
      <c r="K42" s="481"/>
      <c r="L42" s="481"/>
      <c r="M42" s="481"/>
      <c r="N42" s="481"/>
      <c r="O42" s="479">
        <v>15</v>
      </c>
      <c r="P42" s="481"/>
      <c r="R42" s="481"/>
      <c r="S42" s="481"/>
      <c r="T42" s="481"/>
      <c r="U42" s="480"/>
      <c r="V42" s="482"/>
      <c r="W42" s="1891"/>
      <c r="X42" s="478"/>
      <c r="Y42" s="478"/>
      <c r="Z42" s="478"/>
      <c r="AA42" s="481"/>
      <c r="AB42" s="479">
        <v>15</v>
      </c>
      <c r="AC42" s="478"/>
      <c r="AD42" s="481"/>
      <c r="AE42" s="481"/>
      <c r="AF42" s="481"/>
      <c r="AG42" s="481"/>
      <c r="AH42" s="480"/>
      <c r="AI42" s="481"/>
      <c r="AJ42" s="480"/>
      <c r="AK42" s="481"/>
      <c r="AL42" s="481"/>
      <c r="AM42" s="480"/>
      <c r="AN42" s="481"/>
      <c r="AO42" s="481"/>
      <c r="AP42" s="481"/>
      <c r="AQ42" s="481"/>
      <c r="AR42" s="481"/>
      <c r="AS42" s="481"/>
    </row>
    <row r="43" spans="1:45" x14ac:dyDescent="0.35">
      <c r="W43" s="1891"/>
      <c r="Y43" s="745"/>
      <c r="Z43" s="746"/>
    </row>
    <row r="44" spans="1:45" x14ac:dyDescent="0.35">
      <c r="W44" s="1891"/>
    </row>
  </sheetData>
  <mergeCells count="81">
    <mergeCell ref="S23:S24"/>
    <mergeCell ref="AB4:AB27"/>
    <mergeCell ref="S5:S21"/>
    <mergeCell ref="AR24:AS24"/>
    <mergeCell ref="AD15:AD18"/>
    <mergeCell ref="AE15:AE18"/>
    <mergeCell ref="AR15:AS16"/>
    <mergeCell ref="AR17:AS18"/>
    <mergeCell ref="AP24:AP27"/>
    <mergeCell ref="AP5:AP16"/>
    <mergeCell ref="AQ21:AQ22"/>
    <mergeCell ref="AR5:AS8"/>
    <mergeCell ref="AG5:AG8"/>
    <mergeCell ref="AR10:AS12"/>
    <mergeCell ref="AH11:AN12"/>
    <mergeCell ref="AR21:AS23"/>
    <mergeCell ref="AQ23:AQ24"/>
    <mergeCell ref="AH13:AH27"/>
    <mergeCell ref="AD5:AD11"/>
    <mergeCell ref="A4:A27"/>
    <mergeCell ref="O4:O27"/>
    <mergeCell ref="B5:B27"/>
    <mergeCell ref="E5:E20"/>
    <mergeCell ref="K5:K21"/>
    <mergeCell ref="R5:R21"/>
    <mergeCell ref="C5:C20"/>
    <mergeCell ref="D5:D20"/>
    <mergeCell ref="F5:F20"/>
    <mergeCell ref="G5:G20"/>
    <mergeCell ref="H5:H20"/>
    <mergeCell ref="Q12:Q13"/>
    <mergeCell ref="M5:M18"/>
    <mergeCell ref="N5:N14"/>
    <mergeCell ref="N21:N22"/>
    <mergeCell ref="J5:J19"/>
    <mergeCell ref="L5:L20"/>
    <mergeCell ref="Q17:Q18"/>
    <mergeCell ref="R23:R24"/>
    <mergeCell ref="Q5:Q8"/>
    <mergeCell ref="I5:I14"/>
    <mergeCell ref="P5:P20"/>
    <mergeCell ref="AR4:AS4"/>
    <mergeCell ref="AK13:AK27"/>
    <mergeCell ref="AH10:AN10"/>
    <mergeCell ref="AC5:AC7"/>
    <mergeCell ref="AL13:AL27"/>
    <mergeCell ref="AH4:AI4"/>
    <mergeCell ref="AN13:AN27"/>
    <mergeCell ref="AR13:AS14"/>
    <mergeCell ref="AR19:AS19"/>
    <mergeCell ref="AQ5:AQ18"/>
    <mergeCell ref="AI13:AI27"/>
    <mergeCell ref="AF12:AF13"/>
    <mergeCell ref="AM13:AM27"/>
    <mergeCell ref="AO15:AO16"/>
    <mergeCell ref="U5:U7"/>
    <mergeCell ref="U14:U15"/>
    <mergeCell ref="AA5:AA13"/>
    <mergeCell ref="AO13:AO14"/>
    <mergeCell ref="AC11:AC12"/>
    <mergeCell ref="AJ13:AJ27"/>
    <mergeCell ref="AH5:AN6"/>
    <mergeCell ref="AO5:AO8"/>
    <mergeCell ref="AE5:AE11"/>
    <mergeCell ref="AF5:AF9"/>
    <mergeCell ref="AF14:AF16"/>
    <mergeCell ref="X12:X13"/>
    <mergeCell ref="Z12:Z13"/>
    <mergeCell ref="Z14:Z15"/>
    <mergeCell ref="T20:T21"/>
    <mergeCell ref="V5:V13"/>
    <mergeCell ref="T5:T13"/>
    <mergeCell ref="W5:W8"/>
    <mergeCell ref="Z16:Z17"/>
    <mergeCell ref="Y5:Y8"/>
    <mergeCell ref="Z18:Z19"/>
    <mergeCell ref="X5:X8"/>
    <mergeCell ref="Z5:Z9"/>
    <mergeCell ref="Z10:Z11"/>
    <mergeCell ref="Z20:Z21"/>
    <mergeCell ref="X15:X16"/>
  </mergeCells>
  <pageMargins left="0.314" right="0.314" top="0.11799999999999999" bottom="0.27500000000000002" header="0.157" footer="0.11799999999999999"/>
  <pageSetup scale="69" firstPageNumber="14" orientation="landscape" r:id="rId1"/>
  <headerFooter>
    <oddFooter>&amp;C&amp;P</oddFooter>
  </headerFooter>
  <colBreaks count="2" manualBreakCount="2">
    <brk id="14" max="1048575" man="1"/>
    <brk id="27"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BF87"/>
  <sheetViews>
    <sheetView topLeftCell="N12" zoomScale="120" zoomScaleNormal="100" zoomScaleSheetLayoutView="120" workbookViewId="0">
      <selection activeCell="O13" sqref="O13"/>
    </sheetView>
  </sheetViews>
  <sheetFormatPr defaultColWidth="8.81640625" defaultRowHeight="15.5" x14ac:dyDescent="0.35"/>
  <cols>
    <col min="1" max="1" width="3.453125" style="442" customWidth="1"/>
    <col min="2" max="2" width="24.453125" style="443" customWidth="1"/>
    <col min="3" max="3" width="4.81640625" style="443" bestFit="1" customWidth="1"/>
    <col min="4" max="4" width="17.453125" style="443" customWidth="1"/>
    <col min="5" max="5" width="4.81640625" style="443" bestFit="1" customWidth="1"/>
    <col min="6" max="6" width="15.81640625" style="443" customWidth="1"/>
    <col min="7" max="7" width="8.26953125" style="443" customWidth="1"/>
    <col min="8" max="8" width="11.26953125" style="1109" customWidth="1"/>
    <col min="9" max="10" width="9.1796875" style="1109" customWidth="1"/>
    <col min="11" max="11" width="7.81640625" style="180" customWidth="1"/>
    <col min="12" max="12" width="10.1796875" style="180" customWidth="1"/>
    <col min="13" max="13" width="3.453125" style="442" customWidth="1"/>
    <col min="14" max="14" width="10.7265625" style="1553" customWidth="1"/>
    <col min="15" max="15" width="25.1796875" style="180" customWidth="1"/>
    <col min="16" max="16" width="8.1796875" style="180" customWidth="1"/>
    <col min="17" max="17" width="8.81640625" style="180" customWidth="1"/>
    <col min="18" max="18" width="10.26953125" style="1109" customWidth="1"/>
    <col min="19" max="19" width="11.7265625" style="1109" customWidth="1"/>
    <col min="20" max="20" width="10.7265625" style="443" customWidth="1"/>
    <col min="21" max="21" width="1.81640625" style="180" bestFit="1" customWidth="1"/>
    <col min="22" max="22" width="14.7265625" style="180" customWidth="1"/>
    <col min="23" max="23" width="12" style="180" bestFit="1" customWidth="1"/>
    <col min="24" max="24" width="10.7265625" style="443" customWidth="1"/>
    <col min="25" max="25" width="1.1796875" style="443" customWidth="1"/>
    <col min="26" max="26" width="1.453125" style="443" customWidth="1"/>
    <col min="27" max="27" width="14.7265625" style="443" customWidth="1"/>
    <col min="28" max="28" width="3" style="180" customWidth="1"/>
    <col min="29" max="29" width="2.7265625" style="180" customWidth="1"/>
    <col min="30" max="30" width="3" style="180" customWidth="1"/>
    <col min="31" max="31" width="3.453125" style="442" customWidth="1"/>
    <col min="32" max="32" width="15.7265625" style="443" customWidth="1"/>
    <col min="33" max="33" width="1.1796875" style="443" customWidth="1"/>
    <col min="34" max="34" width="1.453125" style="443" customWidth="1"/>
    <col min="35" max="35" width="15.7265625" style="443" customWidth="1"/>
    <col min="36" max="36" width="3" style="180" customWidth="1"/>
    <col min="37" max="37" width="2.7265625" style="180" customWidth="1"/>
    <col min="38" max="38" width="6.453125" style="180" customWidth="1"/>
    <col min="39" max="39" width="1.453125" style="180" customWidth="1"/>
    <col min="40" max="40" width="15.7265625" style="180" customWidth="1"/>
    <col min="41" max="41" width="2.7265625" style="443" customWidth="1"/>
    <col min="42" max="42" width="12.1796875" style="443" bestFit="1" customWidth="1"/>
    <col min="43" max="43" width="7.7265625" style="443" bestFit="1" customWidth="1"/>
    <col min="44" max="44" width="10.26953125" style="443" customWidth="1"/>
    <col min="45" max="45" width="14.26953125" style="443" customWidth="1"/>
    <col min="46" max="46" width="8.453125" style="443" customWidth="1"/>
    <col min="47" max="47" width="7.7265625" style="443" bestFit="1" customWidth="1"/>
    <col min="48" max="48" width="11.1796875" style="443" customWidth="1"/>
    <col min="49" max="49" width="15.26953125" style="1109" customWidth="1"/>
    <col min="50" max="50" width="6.81640625" style="443" bestFit="1" customWidth="1"/>
    <col min="51" max="51" width="7.453125" style="443" customWidth="1"/>
    <col min="52" max="52" width="12" style="443" customWidth="1"/>
    <col min="53" max="53" width="26.7265625" style="443" customWidth="1"/>
    <col min="54" max="54" width="6.81640625" style="443" bestFit="1" customWidth="1"/>
    <col min="55" max="55" width="7.453125" style="443" customWidth="1"/>
    <col min="56" max="56" width="10.81640625" style="1109" customWidth="1"/>
    <col min="57" max="57" width="12.81640625" style="1109" customWidth="1"/>
    <col min="58" max="58" width="11.453125" style="442" customWidth="1"/>
  </cols>
  <sheetData>
    <row r="1" spans="1:58" ht="15.75" customHeight="1" x14ac:dyDescent="0.25">
      <c r="A1" s="398" t="s">
        <v>682</v>
      </c>
      <c r="B1" s="399"/>
      <c r="C1" s="399"/>
      <c r="D1" s="399"/>
      <c r="E1" s="399"/>
      <c r="F1" s="399"/>
      <c r="G1" s="399"/>
      <c r="H1" s="1102"/>
      <c r="I1" s="1102"/>
      <c r="J1" s="1102"/>
      <c r="K1" s="399"/>
      <c r="L1" s="400"/>
      <c r="M1" s="398" t="s">
        <v>682</v>
      </c>
      <c r="N1" s="1543"/>
      <c r="O1" s="178"/>
      <c r="P1" s="178"/>
      <c r="Q1" s="178"/>
      <c r="R1" s="1102"/>
      <c r="S1" s="1102"/>
      <c r="T1" s="399"/>
      <c r="U1" s="399"/>
      <c r="V1" s="399"/>
      <c r="W1" s="399"/>
      <c r="X1" s="399"/>
      <c r="Y1" s="399"/>
      <c r="Z1" s="399"/>
      <c r="AA1" s="399"/>
      <c r="AB1" s="178"/>
      <c r="AC1" s="178"/>
      <c r="AD1" s="178"/>
      <c r="AE1" s="398" t="s">
        <v>682</v>
      </c>
      <c r="AF1" s="399"/>
      <c r="AG1" s="399"/>
      <c r="AH1" s="399"/>
      <c r="AI1" s="399"/>
      <c r="AJ1" s="178"/>
      <c r="AK1" s="178"/>
      <c r="AL1" s="178"/>
      <c r="AM1" s="178"/>
      <c r="AN1" s="178"/>
      <c r="AO1" s="399"/>
      <c r="AP1" s="399"/>
      <c r="AQ1" s="399"/>
      <c r="AR1" s="399"/>
      <c r="AS1" s="399"/>
      <c r="AT1" s="399"/>
      <c r="AU1" s="399"/>
      <c r="AV1" s="399"/>
      <c r="AW1" s="1102"/>
      <c r="AX1" s="399"/>
      <c r="AY1" s="399"/>
      <c r="AZ1" s="399"/>
      <c r="BA1" s="399"/>
      <c r="BB1" s="399"/>
      <c r="BC1" s="399"/>
      <c r="BD1" s="1102"/>
      <c r="BE1" s="1102"/>
      <c r="BF1" s="401"/>
    </row>
    <row r="2" spans="1:58" ht="15.75" customHeight="1" x14ac:dyDescent="0.25">
      <c r="A2" s="398" t="s">
        <v>780</v>
      </c>
      <c r="B2" s="328"/>
      <c r="C2" s="328"/>
      <c r="D2" s="328"/>
      <c r="E2" s="328"/>
      <c r="F2" s="403"/>
      <c r="G2" s="403"/>
      <c r="H2" s="1103"/>
      <c r="I2" s="1103"/>
      <c r="J2" s="1103"/>
      <c r="K2" s="328"/>
      <c r="L2" s="400"/>
      <c r="M2" s="398" t="s">
        <v>780</v>
      </c>
      <c r="N2" s="1544"/>
      <c r="O2" s="179"/>
      <c r="P2" s="179"/>
      <c r="Q2" s="179"/>
      <c r="R2" s="1103"/>
      <c r="S2" s="1103"/>
      <c r="T2" s="403"/>
      <c r="U2" s="328"/>
      <c r="V2" s="328"/>
      <c r="W2" s="328"/>
      <c r="X2" s="403"/>
      <c r="Y2" s="403"/>
      <c r="Z2" s="403"/>
      <c r="AA2" s="403"/>
      <c r="AB2" s="404"/>
      <c r="AC2" s="404"/>
      <c r="AD2" s="404"/>
      <c r="AE2" s="398" t="s">
        <v>780</v>
      </c>
      <c r="AF2" s="403"/>
      <c r="AG2" s="403"/>
      <c r="AH2" s="403"/>
      <c r="AI2" s="403"/>
      <c r="AJ2" s="404"/>
      <c r="AK2" s="404"/>
      <c r="AL2" s="404"/>
      <c r="AM2" s="404"/>
      <c r="AN2" s="404"/>
      <c r="AO2" s="403"/>
      <c r="AP2" s="403"/>
      <c r="AQ2" s="403"/>
      <c r="AR2" s="403"/>
      <c r="AS2" s="2064"/>
      <c r="AT2" s="403"/>
      <c r="AU2" s="403"/>
      <c r="AV2" s="403"/>
      <c r="AW2" s="1103"/>
      <c r="AX2" s="403"/>
      <c r="AY2" s="403"/>
      <c r="AZ2" s="403"/>
      <c r="BA2" s="403"/>
      <c r="BB2" s="403"/>
      <c r="BC2" s="403"/>
      <c r="BD2" s="1104"/>
      <c r="BE2" s="1104"/>
      <c r="BF2" s="402"/>
    </row>
    <row r="3" spans="1:58" x14ac:dyDescent="0.25">
      <c r="A3" s="405"/>
      <c r="B3" s="328"/>
      <c r="C3" s="328"/>
      <c r="D3" s="328"/>
      <c r="E3" s="328"/>
      <c r="F3" s="403"/>
      <c r="G3" s="403"/>
      <c r="H3" s="1103"/>
      <c r="I3" s="1103"/>
      <c r="J3" s="1103"/>
      <c r="K3" s="328"/>
      <c r="L3" s="328"/>
      <c r="M3" s="405"/>
      <c r="N3" s="1544"/>
      <c r="O3" s="179"/>
      <c r="P3" s="179"/>
      <c r="Q3" s="179"/>
      <c r="R3" s="1103"/>
      <c r="S3" s="1103"/>
      <c r="T3" s="403"/>
      <c r="U3" s="328"/>
      <c r="V3" s="328"/>
      <c r="W3" s="328"/>
      <c r="X3" s="403"/>
      <c r="Y3" s="403"/>
      <c r="Z3" s="403"/>
      <c r="AA3" s="403"/>
      <c r="AB3" s="404"/>
      <c r="AC3" s="404"/>
      <c r="AD3" s="404"/>
      <c r="AE3" s="405"/>
      <c r="AF3" s="403"/>
      <c r="AG3" s="403"/>
      <c r="AH3" s="403"/>
      <c r="AI3" s="403"/>
      <c r="AJ3" s="404"/>
      <c r="AK3" s="404"/>
      <c r="AL3" s="404"/>
      <c r="AM3" s="404"/>
      <c r="AN3" s="404"/>
      <c r="AO3" s="403"/>
      <c r="AP3" s="403"/>
      <c r="AQ3" s="403"/>
      <c r="AR3" s="2064"/>
      <c r="AS3" s="403"/>
      <c r="AT3" s="403"/>
      <c r="AU3" s="403"/>
      <c r="AV3" s="403"/>
      <c r="AW3" s="1103"/>
      <c r="AX3" s="403"/>
      <c r="AY3" s="403"/>
      <c r="AZ3" s="403"/>
      <c r="BA3" s="403"/>
      <c r="BB3" s="403"/>
      <c r="BC3" s="403"/>
      <c r="BD3" s="1103"/>
      <c r="BE3" s="1103"/>
    </row>
    <row r="4" spans="1:58" ht="12.5" x14ac:dyDescent="0.25">
      <c r="A4" s="2766" t="s">
        <v>170</v>
      </c>
      <c r="B4" s="2464">
        <f>S04_Emploi_A!AR4+0.01</f>
        <v>4.2899999999999991</v>
      </c>
      <c r="C4" s="2449"/>
      <c r="D4" s="2448">
        <f>B4+0.01</f>
        <v>4.2999999999999989</v>
      </c>
      <c r="E4" s="2464"/>
      <c r="F4" s="406">
        <f>D4+0.01</f>
        <v>4.3099999999999987</v>
      </c>
      <c r="G4" s="406">
        <f t="shared" ref="G4:L4" si="0">F4+0.01</f>
        <v>4.3199999999999985</v>
      </c>
      <c r="H4" s="406">
        <f>G4+0.01</f>
        <v>4.3299999999999983</v>
      </c>
      <c r="I4" s="2464">
        <f>H4+0.01</f>
        <v>4.3399999999999981</v>
      </c>
      <c r="J4" s="406">
        <f t="shared" si="0"/>
        <v>4.3499999999999979</v>
      </c>
      <c r="K4" s="406">
        <f t="shared" si="0"/>
        <v>4.3599999999999977</v>
      </c>
      <c r="L4" s="406">
        <f t="shared" si="0"/>
        <v>4.3699999999999974</v>
      </c>
      <c r="M4" s="3129" t="s">
        <v>170</v>
      </c>
      <c r="N4" s="1545">
        <f>L4+0.01</f>
        <v>4.3799999999999972</v>
      </c>
      <c r="O4" s="406">
        <f>N4+0.01</f>
        <v>4.389999999999997</v>
      </c>
      <c r="P4" s="1776" t="str">
        <f>CONCATENATE("(",TEXT($O$4,"0.00"),P40,")")</f>
        <v>(4.39a)</v>
      </c>
      <c r="Q4" s="1776" t="str">
        <f>CONCATENATE("(",TEXT($O$4,"0.00"),Q40,")")</f>
        <v>(4.39b)</v>
      </c>
      <c r="R4" s="406">
        <f>O4+0.01</f>
        <v>4.3999999999999968</v>
      </c>
      <c r="S4" s="406">
        <f>R4+0.01</f>
        <v>4.4099999999999966</v>
      </c>
      <c r="T4" s="2449">
        <f>S4+0.01</f>
        <v>4.4199999999999964</v>
      </c>
      <c r="U4" s="3162">
        <f>T4+0.01</f>
        <v>4.4299999999999962</v>
      </c>
      <c r="V4" s="3181"/>
      <c r="W4" s="1616"/>
      <c r="X4" s="2448">
        <f>U4+0.01</f>
        <v>4.4399999999999959</v>
      </c>
      <c r="Y4" s="3162">
        <f>X4+0.01</f>
        <v>4.4499999999999957</v>
      </c>
      <c r="Z4" s="3163"/>
      <c r="AA4" s="3163"/>
      <c r="AB4" s="1615"/>
      <c r="AC4" s="1615"/>
      <c r="AD4" s="1616"/>
      <c r="AE4" s="3129" t="s">
        <v>170</v>
      </c>
      <c r="AF4" s="406">
        <f>Y4+0.01</f>
        <v>4.4599999999999955</v>
      </c>
      <c r="AG4" s="3162">
        <f>AF4+0.01</f>
        <v>4.4699999999999953</v>
      </c>
      <c r="AH4" s="3163"/>
      <c r="AI4" s="3163"/>
      <c r="AJ4" s="1615"/>
      <c r="AK4" s="1615"/>
      <c r="AL4" s="1616"/>
      <c r="AM4" s="3113">
        <f>ROUND(AG4,2)+0.01</f>
        <v>4.4799999999999995</v>
      </c>
      <c r="AN4" s="3114"/>
      <c r="AO4" s="3162">
        <f>AM4+0.01</f>
        <v>4.4899999999999993</v>
      </c>
      <c r="AP4" s="3164"/>
      <c r="AQ4" s="1607"/>
      <c r="AR4" s="1933" t="str">
        <f>CONCATENATE("(",LEFT(TEXT(AO4,"0.00"), 4), "a)")</f>
        <v>(4.49a)</v>
      </c>
      <c r="AS4" s="2065" t="str">
        <f>CONCATENATE("(",LEFT(AO4, 4), "b)")</f>
        <v>(4.49b)</v>
      </c>
      <c r="AT4" s="2058" t="str">
        <f>CONCATENATE("(",LEFT(AO4, 4), "c)")</f>
        <v>(4.49c)</v>
      </c>
      <c r="AU4" s="2018"/>
      <c r="AV4" s="2018" t="str">
        <f>CONCATENATE("(",LEFT(AO4, 4), "d)")</f>
        <v>(4.49d)</v>
      </c>
      <c r="AW4" s="2020" t="str">
        <f>CONCATENATE("(",LEFT(AO4, 4), "e)")</f>
        <v>(4.49e)</v>
      </c>
      <c r="AX4" s="2058" t="str">
        <f>CONCATENATE("(",LEFT(AO4, 4), "f)")</f>
        <v>(4.49f)</v>
      </c>
      <c r="AY4" s="2018"/>
      <c r="AZ4" s="2018" t="str">
        <f>CONCATENATE("(",LEFT(AO4, 4), "h)")</f>
        <v>(4.49h)</v>
      </c>
      <c r="BA4" s="2020" t="str">
        <f>CONCATENATE("(",LEFT(AO4, 4), "i)")</f>
        <v>(4.49i)</v>
      </c>
      <c r="BB4" s="2058" t="str">
        <f>CONCATENATE("(",LEFT(AO4, 4), "j)")</f>
        <v>(4.49j)</v>
      </c>
      <c r="BC4" s="2018"/>
      <c r="BD4" s="406">
        <f>ROUND(AO4,2)+0.01</f>
        <v>4.5</v>
      </c>
      <c r="BE4" s="2058" t="str">
        <f>CONCATENATE("(",TEXT(BD4,"0.00"), "a)")</f>
        <v>(4.50a)</v>
      </c>
      <c r="BF4" s="2058" t="str">
        <f>CONCATENATE("(",TEXT(BD4,"0.00"), "b)")</f>
        <v>(4.50b)</v>
      </c>
    </row>
    <row r="5" spans="1:58" ht="12.75" customHeight="1" x14ac:dyDescent="0.25">
      <c r="A5" s="2767"/>
      <c r="B5" s="3021" t="s">
        <v>781</v>
      </c>
      <c r="C5" s="2787"/>
      <c r="D5" s="2784" t="s">
        <v>782</v>
      </c>
      <c r="E5" s="2785"/>
      <c r="F5" s="2783" t="s">
        <v>783</v>
      </c>
      <c r="G5" s="2883" t="s">
        <v>784</v>
      </c>
      <c r="H5" s="2783" t="s">
        <v>785</v>
      </c>
      <c r="I5" s="2785" t="s">
        <v>786</v>
      </c>
      <c r="J5" s="2783" t="s">
        <v>787</v>
      </c>
      <c r="K5" s="3184" t="s">
        <v>788</v>
      </c>
      <c r="L5" s="3184" t="s">
        <v>789</v>
      </c>
      <c r="M5" s="3130"/>
      <c r="N5" s="3188" t="s">
        <v>790</v>
      </c>
      <c r="O5" s="2883" t="s">
        <v>791</v>
      </c>
      <c r="P5" s="2891" t="s">
        <v>792</v>
      </c>
      <c r="Q5" s="2891" t="s">
        <v>793</v>
      </c>
      <c r="R5" s="2883" t="s">
        <v>794</v>
      </c>
      <c r="S5" s="2783" t="s">
        <v>795</v>
      </c>
      <c r="T5" s="3186" t="s">
        <v>796</v>
      </c>
      <c r="U5" s="2950" t="s">
        <v>797</v>
      </c>
      <c r="V5" s="2950"/>
      <c r="W5" s="2936"/>
      <c r="X5" s="2783" t="s">
        <v>798</v>
      </c>
      <c r="Y5" s="3153" t="s">
        <v>799</v>
      </c>
      <c r="Z5" s="3154"/>
      <c r="AA5" s="3154"/>
      <c r="AB5" s="3154"/>
      <c r="AC5" s="3154"/>
      <c r="AD5" s="3155"/>
      <c r="AE5" s="3130"/>
      <c r="AF5" s="2783" t="s">
        <v>800</v>
      </c>
      <c r="AG5" s="3153" t="s">
        <v>801</v>
      </c>
      <c r="AH5" s="3154"/>
      <c r="AI5" s="3154"/>
      <c r="AJ5" s="3154"/>
      <c r="AK5" s="3154"/>
      <c r="AL5" s="3155"/>
      <c r="AM5" s="2784" t="s">
        <v>802</v>
      </c>
      <c r="AN5" s="2787"/>
      <c r="AO5" s="3169" t="s">
        <v>803</v>
      </c>
      <c r="AP5" s="3170"/>
      <c r="AQ5" s="3171"/>
      <c r="AR5" s="3145" t="s">
        <v>804</v>
      </c>
      <c r="AS5" s="3146" t="s">
        <v>805</v>
      </c>
      <c r="AT5" s="3146" t="s">
        <v>806</v>
      </c>
      <c r="AU5" s="3147"/>
      <c r="AV5" s="2805" t="str">
        <f>CONCATENATE("[NOM] a-t-il eu à  faire face à une réduction du temps dans son emploi principal pendant la période la crise de COVID-19 ?")</f>
        <v>[NOM] a-t-il eu à  faire face à une réduction du temps dans son emploi principal pendant la période la crise de COVID-19 ?</v>
      </c>
      <c r="AW5" s="2805" t="s">
        <v>807</v>
      </c>
      <c r="AX5" s="3146" t="s">
        <v>808</v>
      </c>
      <c r="AY5" s="3147"/>
      <c r="AZ5" s="3145" t="str">
        <f>CONCATENATE("[NOM] a-t-il eu  une réduction, du salaire, des bénéfices et ou des avantages de l'emploi principal pendant la période la crise de COVID-19 ? ")</f>
        <v xml:space="preserve">[NOM] a-t-il eu  une réduction, du salaire, des bénéfices et ou des avantages de l'emploi principal pendant la période la crise de COVID-19 ? </v>
      </c>
      <c r="BA5" s="3145" t="s">
        <v>809</v>
      </c>
      <c r="BB5" s="3146" t="s">
        <v>810</v>
      </c>
      <c r="BC5" s="3147"/>
      <c r="BD5" s="2782" t="s">
        <v>811</v>
      </c>
      <c r="BE5" s="3161" t="s">
        <v>812</v>
      </c>
      <c r="BF5" s="3101" t="s">
        <v>813</v>
      </c>
    </row>
    <row r="6" spans="1:58" ht="12.75" customHeight="1" x14ac:dyDescent="0.25">
      <c r="A6" s="2767"/>
      <c r="B6" s="3021"/>
      <c r="C6" s="2787"/>
      <c r="D6" s="2784"/>
      <c r="E6" s="2785"/>
      <c r="F6" s="2783"/>
      <c r="G6" s="2883"/>
      <c r="H6" s="2783"/>
      <c r="I6" s="2785"/>
      <c r="J6" s="2783"/>
      <c r="K6" s="3185"/>
      <c r="L6" s="3184"/>
      <c r="M6" s="3130"/>
      <c r="N6" s="3188"/>
      <c r="O6" s="2883"/>
      <c r="P6" s="2891"/>
      <c r="Q6" s="2891"/>
      <c r="R6" s="2883"/>
      <c r="S6" s="2783"/>
      <c r="T6" s="3186"/>
      <c r="U6" s="2950"/>
      <c r="V6" s="2950"/>
      <c r="W6" s="2936"/>
      <c r="X6" s="2783"/>
      <c r="Y6" s="3156"/>
      <c r="Z6" s="3154"/>
      <c r="AA6" s="3154"/>
      <c r="AB6" s="3154"/>
      <c r="AC6" s="3154"/>
      <c r="AD6" s="3155"/>
      <c r="AE6" s="3130"/>
      <c r="AF6" s="2783"/>
      <c r="AG6" s="3156"/>
      <c r="AH6" s="3154"/>
      <c r="AI6" s="3154"/>
      <c r="AJ6" s="3154"/>
      <c r="AK6" s="3154"/>
      <c r="AL6" s="3155"/>
      <c r="AM6" s="2784"/>
      <c r="AN6" s="2787"/>
      <c r="AO6" s="3169"/>
      <c r="AP6" s="3170"/>
      <c r="AQ6" s="3171"/>
      <c r="AR6" s="3145"/>
      <c r="AS6" s="3146"/>
      <c r="AT6" s="3146"/>
      <c r="AU6" s="3147"/>
      <c r="AV6" s="2805"/>
      <c r="AW6" s="2805"/>
      <c r="AX6" s="3146"/>
      <c r="AY6" s="3147"/>
      <c r="AZ6" s="3145"/>
      <c r="BA6" s="3145"/>
      <c r="BB6" s="3146"/>
      <c r="BC6" s="3147"/>
      <c r="BD6" s="2782"/>
      <c r="BE6" s="3161"/>
      <c r="BF6" s="3101"/>
    </row>
    <row r="7" spans="1:58" ht="12.75" customHeight="1" x14ac:dyDescent="0.25">
      <c r="A7" s="2767"/>
      <c r="B7" s="3021"/>
      <c r="C7" s="2787"/>
      <c r="D7" s="2784"/>
      <c r="E7" s="2785"/>
      <c r="F7" s="2783"/>
      <c r="G7" s="2883"/>
      <c r="H7" s="2783"/>
      <c r="I7" s="2785"/>
      <c r="J7" s="2783"/>
      <c r="K7" s="3185"/>
      <c r="L7" s="3184"/>
      <c r="M7" s="3130"/>
      <c r="N7" s="3188"/>
      <c r="O7" s="2883"/>
      <c r="P7" s="2891"/>
      <c r="Q7" s="2891"/>
      <c r="R7" s="2883"/>
      <c r="S7" s="2783"/>
      <c r="T7" s="3186"/>
      <c r="U7" s="2950"/>
      <c r="V7" s="2950"/>
      <c r="W7" s="2936"/>
      <c r="X7" s="2783"/>
      <c r="Y7" s="3156"/>
      <c r="Z7" s="3154"/>
      <c r="AA7" s="3154"/>
      <c r="AB7" s="3154"/>
      <c r="AC7" s="3154"/>
      <c r="AD7" s="3155"/>
      <c r="AE7" s="3130"/>
      <c r="AF7" s="2783"/>
      <c r="AG7" s="3156"/>
      <c r="AH7" s="3154"/>
      <c r="AI7" s="3154"/>
      <c r="AJ7" s="3154"/>
      <c r="AK7" s="3154"/>
      <c r="AL7" s="3155"/>
      <c r="AM7" s="2784"/>
      <c r="AN7" s="2787"/>
      <c r="AO7" s="3169"/>
      <c r="AP7" s="3170"/>
      <c r="AQ7" s="3171"/>
      <c r="AR7" s="3145"/>
      <c r="AS7" s="3146"/>
      <c r="AT7" s="3146"/>
      <c r="AU7" s="3147"/>
      <c r="AV7" s="2805"/>
      <c r="AW7" s="2805"/>
      <c r="AX7" s="3146"/>
      <c r="AY7" s="3147"/>
      <c r="AZ7" s="3145"/>
      <c r="BA7" s="3145"/>
      <c r="BB7" s="3146"/>
      <c r="BC7" s="3147"/>
      <c r="BD7" s="2782"/>
      <c r="BE7" s="3161"/>
      <c r="BF7" s="3101"/>
    </row>
    <row r="8" spans="1:58" ht="12.75" customHeight="1" x14ac:dyDescent="0.25">
      <c r="A8" s="2767"/>
      <c r="B8" s="3021"/>
      <c r="C8" s="2787"/>
      <c r="D8" s="2784"/>
      <c r="E8" s="2785"/>
      <c r="F8" s="2783"/>
      <c r="G8" s="2883"/>
      <c r="H8" s="2783"/>
      <c r="I8" s="2785"/>
      <c r="J8" s="2783"/>
      <c r="K8" s="3185"/>
      <c r="L8" s="3184"/>
      <c r="M8" s="3130"/>
      <c r="N8" s="3188"/>
      <c r="O8" s="2883"/>
      <c r="P8" s="2891"/>
      <c r="Q8" s="2891"/>
      <c r="R8" s="2883"/>
      <c r="S8" s="2783"/>
      <c r="T8" s="3186"/>
      <c r="U8" s="2950"/>
      <c r="V8" s="2950"/>
      <c r="W8" s="2936"/>
      <c r="X8" s="2783"/>
      <c r="Y8" s="3157"/>
      <c r="Z8" s="3158"/>
      <c r="AA8" s="3158"/>
      <c r="AB8" s="3158"/>
      <c r="AC8" s="3158"/>
      <c r="AD8" s="3159"/>
      <c r="AE8" s="3130"/>
      <c r="AF8" s="2783"/>
      <c r="AG8" s="3157"/>
      <c r="AH8" s="3158"/>
      <c r="AI8" s="3158"/>
      <c r="AJ8" s="3158"/>
      <c r="AK8" s="3158"/>
      <c r="AL8" s="3159"/>
      <c r="AM8" s="2784"/>
      <c r="AN8" s="2787"/>
      <c r="AO8" s="1815" t="s">
        <v>814</v>
      </c>
      <c r="AP8" s="1609"/>
      <c r="AQ8" s="1610"/>
      <c r="AR8" s="3145"/>
      <c r="AS8" s="3146"/>
      <c r="AT8" s="3146"/>
      <c r="AU8" s="3147"/>
      <c r="AV8" s="2805"/>
      <c r="AW8" s="2805"/>
      <c r="AX8" s="3146"/>
      <c r="AY8" s="3147"/>
      <c r="AZ8" s="3145"/>
      <c r="BA8" s="3145"/>
      <c r="BB8" s="3146"/>
      <c r="BC8" s="3147"/>
      <c r="BD8" s="2782"/>
      <c r="BE8" s="3161"/>
      <c r="BF8" s="3101"/>
    </row>
    <row r="9" spans="1:58" ht="13.5" customHeight="1" x14ac:dyDescent="0.25">
      <c r="A9" s="2767"/>
      <c r="B9" s="3021"/>
      <c r="C9" s="2787"/>
      <c r="D9" s="2784"/>
      <c r="E9" s="2785"/>
      <c r="F9" s="58"/>
      <c r="G9" s="2883"/>
      <c r="H9" s="2783"/>
      <c r="I9" s="2785"/>
      <c r="J9" s="2783"/>
      <c r="K9" s="3185"/>
      <c r="L9" s="3184"/>
      <c r="M9" s="3130"/>
      <c r="N9" s="3188"/>
      <c r="O9" s="1622"/>
      <c r="P9" s="2891"/>
      <c r="Q9" s="2891"/>
      <c r="R9" s="2883"/>
      <c r="S9" s="2783"/>
      <c r="T9" s="3186"/>
      <c r="U9" s="1613"/>
      <c r="V9" s="1614"/>
      <c r="W9" s="1610"/>
      <c r="X9" s="2783"/>
      <c r="Y9" s="1613"/>
      <c r="Z9" s="160" t="s">
        <v>815</v>
      </c>
      <c r="AA9" s="160"/>
      <c r="AB9" s="1656"/>
      <c r="AC9" s="1656"/>
      <c r="AD9" s="1657"/>
      <c r="AE9" s="3130"/>
      <c r="AF9" s="2783"/>
      <c r="AG9" s="1704"/>
      <c r="AH9" s="160" t="s">
        <v>815</v>
      </c>
      <c r="AI9" s="1705"/>
      <c r="AJ9" s="1705"/>
      <c r="AK9" s="1705"/>
      <c r="AL9" s="1706"/>
      <c r="AM9" s="2784"/>
      <c r="AN9" s="2787"/>
      <c r="AO9" s="1608"/>
      <c r="AP9" s="1609"/>
      <c r="AQ9" s="1610"/>
      <c r="AR9" s="3145"/>
      <c r="AS9" s="3146"/>
      <c r="AT9" s="3146"/>
      <c r="AU9" s="3147"/>
      <c r="AV9" s="2805"/>
      <c r="AW9" s="2805"/>
      <c r="AX9" s="3146"/>
      <c r="AY9" s="3147"/>
      <c r="AZ9" s="3145"/>
      <c r="BA9" s="3145"/>
      <c r="BB9" s="3146"/>
      <c r="BC9" s="3147"/>
      <c r="BD9" s="2782"/>
      <c r="BE9" s="3161"/>
      <c r="BF9" s="3101"/>
    </row>
    <row r="10" spans="1:58" ht="13.5" customHeight="1" x14ac:dyDescent="0.35">
      <c r="A10" s="2767"/>
      <c r="B10" s="3021"/>
      <c r="C10" s="2787"/>
      <c r="D10" s="409"/>
      <c r="E10" s="410"/>
      <c r="F10" s="1339"/>
      <c r="G10" s="2883"/>
      <c r="H10" s="2783"/>
      <c r="I10" s="2785"/>
      <c r="J10" s="2783"/>
      <c r="K10" s="3185"/>
      <c r="L10" s="3184"/>
      <c r="M10" s="3130"/>
      <c r="N10" s="3188"/>
      <c r="O10" s="1791" t="str">
        <f>CONCATENATE("Salarié ► (",TEXT(R4,"0.00"),")")</f>
        <v>Salarié ► (4.40)</v>
      </c>
      <c r="P10" s="2891"/>
      <c r="Q10" s="2891"/>
      <c r="R10" s="2883"/>
      <c r="S10" s="2783"/>
      <c r="T10" s="3186"/>
      <c r="U10" s="1613"/>
      <c r="V10" s="1617"/>
      <c r="W10" s="1610"/>
      <c r="X10" s="2783"/>
      <c r="Y10" s="1613"/>
      <c r="Z10" s="3199"/>
      <c r="AA10" s="3199"/>
      <c r="AB10" s="3199"/>
      <c r="AC10" s="3199"/>
      <c r="AD10" s="3200"/>
      <c r="AE10" s="3130"/>
      <c r="AF10" s="2783"/>
      <c r="AG10" s="1704"/>
      <c r="AH10" s="3173"/>
      <c r="AI10" s="3173"/>
      <c r="AJ10" s="3173"/>
      <c r="AK10" s="3173"/>
      <c r="AL10" s="3174"/>
      <c r="AM10" s="2784"/>
      <c r="AN10" s="2787"/>
      <c r="AO10" s="1611"/>
      <c r="AP10" s="1611" t="s">
        <v>816</v>
      </c>
      <c r="AQ10" s="1610"/>
      <c r="AR10" s="3145"/>
      <c r="AS10" s="3146"/>
      <c r="AT10" s="3146"/>
      <c r="AU10" s="3147"/>
      <c r="AV10" s="2805"/>
      <c r="AW10" s="2805"/>
      <c r="AX10" s="3146"/>
      <c r="AY10" s="3147"/>
      <c r="AZ10" s="3145"/>
      <c r="BA10" s="3145"/>
      <c r="BB10" s="3146"/>
      <c r="BC10" s="3147"/>
      <c r="BD10" s="2782"/>
      <c r="BE10" s="3161"/>
      <c r="BF10" s="3101"/>
    </row>
    <row r="11" spans="1:58" ht="13.5" customHeight="1" x14ac:dyDescent="0.25">
      <c r="A11" s="2767"/>
      <c r="B11" s="3021"/>
      <c r="C11" s="2787"/>
      <c r="D11" s="409"/>
      <c r="E11" s="410"/>
      <c r="F11" s="2453"/>
      <c r="G11" s="2883"/>
      <c r="H11" s="2783"/>
      <c r="I11" s="2785"/>
      <c r="J11" s="2783"/>
      <c r="K11" s="3185"/>
      <c r="L11" s="3187"/>
      <c r="M11" s="3130"/>
      <c r="N11" s="3188"/>
      <c r="O11" s="1623" t="s">
        <v>249</v>
      </c>
      <c r="P11" s="2891"/>
      <c r="Q11" s="2891"/>
      <c r="R11" s="2883"/>
      <c r="S11" s="2783"/>
      <c r="T11" s="2463"/>
      <c r="U11" s="1618"/>
      <c r="V11" s="1611" t="s">
        <v>816</v>
      </c>
      <c r="W11" s="1610"/>
      <c r="X11" s="2783"/>
      <c r="Y11" s="1613"/>
      <c r="Z11" s="3199"/>
      <c r="AA11" s="3199"/>
      <c r="AB11" s="3199"/>
      <c r="AC11" s="3199"/>
      <c r="AD11" s="3200"/>
      <c r="AE11" s="3130"/>
      <c r="AF11" s="2783"/>
      <c r="AG11" s="1704"/>
      <c r="AH11" s="3173"/>
      <c r="AI11" s="3173"/>
      <c r="AJ11" s="3173"/>
      <c r="AK11" s="3173"/>
      <c r="AL11" s="3174"/>
      <c r="AM11" s="2784"/>
      <c r="AN11" s="2787"/>
      <c r="AO11" s="1612">
        <v>1</v>
      </c>
      <c r="AP11" s="1612" t="s">
        <v>817</v>
      </c>
      <c r="AQ11" s="1610"/>
      <c r="AR11" s="3145"/>
      <c r="AS11" s="3146"/>
      <c r="AT11" s="3146"/>
      <c r="AU11" s="3147"/>
      <c r="AV11" s="2805"/>
      <c r="AW11" s="2805"/>
      <c r="AX11" s="3146"/>
      <c r="AY11" s="3147"/>
      <c r="AZ11" s="3145"/>
      <c r="BA11" s="2066"/>
      <c r="BB11" s="3146"/>
      <c r="BC11" s="3147"/>
      <c r="BD11" s="2782"/>
      <c r="BE11" s="3161"/>
      <c r="BF11" s="3101"/>
    </row>
    <row r="12" spans="1:58" ht="27" customHeight="1" x14ac:dyDescent="0.25">
      <c r="A12" s="2767"/>
      <c r="B12" s="3021"/>
      <c r="C12" s="2787"/>
      <c r="D12" s="369"/>
      <c r="E12" s="158"/>
      <c r="F12" s="2453" t="str">
        <f>CONCATENATE("1 Etat/Collectivités locales")</f>
        <v>1 Etat/Collectivités locales</v>
      </c>
      <c r="G12" s="2883"/>
      <c r="H12" s="2783"/>
      <c r="I12" s="2785"/>
      <c r="J12" s="2783"/>
      <c r="K12" s="3185"/>
      <c r="L12" s="3187"/>
      <c r="M12" s="3130"/>
      <c r="N12" s="3188"/>
      <c r="O12" s="1867" t="s">
        <v>818</v>
      </c>
      <c r="P12" s="1883"/>
      <c r="Q12" s="1883"/>
      <c r="R12" s="2883"/>
      <c r="S12" s="2783"/>
      <c r="T12" s="2455"/>
      <c r="U12" s="1614">
        <v>1</v>
      </c>
      <c r="V12" s="1614" t="s">
        <v>817</v>
      </c>
      <c r="W12" s="1610"/>
      <c r="X12" s="2783"/>
      <c r="Y12" s="1613"/>
      <c r="Z12" s="3167"/>
      <c r="AA12" s="3167"/>
      <c r="AB12" s="3167"/>
      <c r="AC12" s="3167"/>
      <c r="AD12" s="3168"/>
      <c r="AE12" s="3130"/>
      <c r="AF12" s="2783"/>
      <c r="AG12" s="1613"/>
      <c r="AH12" s="3167"/>
      <c r="AI12" s="3167"/>
      <c r="AJ12" s="3167"/>
      <c r="AK12" s="3167"/>
      <c r="AL12" s="3168"/>
      <c r="AM12" s="2784"/>
      <c r="AN12" s="2787"/>
      <c r="AO12" s="1612">
        <v>2</v>
      </c>
      <c r="AP12" s="1612" t="s">
        <v>347</v>
      </c>
      <c r="AQ12" s="1610"/>
      <c r="AR12" s="3145"/>
      <c r="AS12" s="2067" t="s">
        <v>227</v>
      </c>
      <c r="AT12" s="3146"/>
      <c r="AU12" s="3147"/>
      <c r="AV12" s="2805"/>
      <c r="AW12" s="2805" t="s">
        <v>819</v>
      </c>
      <c r="AX12" s="3146"/>
      <c r="AY12" s="3147"/>
      <c r="AZ12" s="3145"/>
      <c r="BA12" s="2066"/>
      <c r="BB12" s="3146"/>
      <c r="BC12" s="3147"/>
      <c r="BD12" s="2782"/>
      <c r="BE12" s="2461"/>
      <c r="BF12" s="3101"/>
    </row>
    <row r="13" spans="1:58" ht="13.5" customHeight="1" x14ac:dyDescent="0.25">
      <c r="A13" s="2767"/>
      <c r="B13" s="412"/>
      <c r="C13" s="14"/>
      <c r="D13" s="369"/>
      <c r="E13" s="158"/>
      <c r="F13" s="2783" t="str">
        <f>CONCATENATE("2 Entreprise publique/ parapublique")</f>
        <v>2 Entreprise publique/ parapublique</v>
      </c>
      <c r="G13" s="2883"/>
      <c r="H13" s="2783"/>
      <c r="I13" s="2785"/>
      <c r="J13" s="2783"/>
      <c r="K13" s="58"/>
      <c r="L13" s="37"/>
      <c r="M13" s="3130"/>
      <c r="N13" s="3188"/>
      <c r="O13" s="1623" t="s">
        <v>273</v>
      </c>
      <c r="P13" s="1882"/>
      <c r="Q13" s="1882"/>
      <c r="R13" s="2883"/>
      <c r="S13" s="2783"/>
      <c r="T13" s="2455"/>
      <c r="U13" s="1614">
        <v>2</v>
      </c>
      <c r="V13" s="1614" t="s">
        <v>347</v>
      </c>
      <c r="W13" s="1610"/>
      <c r="X13" s="2783"/>
      <c r="Y13" s="1613"/>
      <c r="Z13" s="3167"/>
      <c r="AA13" s="3167"/>
      <c r="AB13" s="3167"/>
      <c r="AC13" s="3167"/>
      <c r="AD13" s="3168"/>
      <c r="AE13" s="3130"/>
      <c r="AF13" s="2783"/>
      <c r="AG13" s="1613"/>
      <c r="AH13" s="3167"/>
      <c r="AI13" s="3167"/>
      <c r="AJ13" s="3167"/>
      <c r="AK13" s="3167"/>
      <c r="AL13" s="3168"/>
      <c r="AM13" s="2784"/>
      <c r="AN13" s="2787"/>
      <c r="AO13" s="1612">
        <v>3</v>
      </c>
      <c r="AP13" s="1612" t="s">
        <v>820</v>
      </c>
      <c r="AQ13" s="1610"/>
      <c r="AR13" s="3145"/>
      <c r="AS13" s="2068" t="str">
        <f>CONCATENATE("2 Non ►",TEXT(AV4,"0.00"))</f>
        <v>2 Non ►(4.49d)</v>
      </c>
      <c r="AT13" s="3146"/>
      <c r="AU13" s="3147"/>
      <c r="AV13" s="2805"/>
      <c r="AW13" s="2805"/>
      <c r="AX13" s="3146"/>
      <c r="AY13" s="3147"/>
      <c r="AZ13" s="3145"/>
      <c r="BA13" s="3144" t="s">
        <v>821</v>
      </c>
      <c r="BB13" s="3146"/>
      <c r="BC13" s="3147"/>
      <c r="BD13" s="2782"/>
      <c r="BE13" s="2461"/>
      <c r="BF13" s="3101"/>
    </row>
    <row r="14" spans="1:58" ht="13.5" customHeight="1" x14ac:dyDescent="0.35">
      <c r="A14" s="2767"/>
      <c r="B14" s="412"/>
      <c r="C14" s="14"/>
      <c r="D14" s="369"/>
      <c r="E14" s="158"/>
      <c r="F14" s="2783"/>
      <c r="G14" s="2883"/>
      <c r="H14" s="2366"/>
      <c r="I14" s="2785"/>
      <c r="J14" s="2366"/>
      <c r="K14" s="58"/>
      <c r="L14" s="37"/>
      <c r="M14" s="3130"/>
      <c r="N14" s="3188"/>
      <c r="O14" s="1624" t="s">
        <v>822</v>
      </c>
      <c r="P14" s="1893" t="s">
        <v>823</v>
      </c>
      <c r="Q14" s="1893" t="s">
        <v>823</v>
      </c>
      <c r="R14" s="1619" t="s">
        <v>227</v>
      </c>
      <c r="S14" s="2783"/>
      <c r="T14" s="2459" t="s">
        <v>823</v>
      </c>
      <c r="U14" s="1614">
        <v>3</v>
      </c>
      <c r="V14" s="1614" t="s">
        <v>820</v>
      </c>
      <c r="W14" s="1610"/>
      <c r="X14" s="2783"/>
      <c r="Y14" s="1613"/>
      <c r="Z14" s="1614"/>
      <c r="AA14" s="1614"/>
      <c r="AB14" s="1614"/>
      <c r="AC14" s="1614"/>
      <c r="AD14" s="1610"/>
      <c r="AE14" s="3130"/>
      <c r="AF14" s="2783"/>
      <c r="AG14" s="1613"/>
      <c r="AH14" s="1614"/>
      <c r="AI14" s="1614"/>
      <c r="AJ14" s="1614"/>
      <c r="AK14" s="1614"/>
      <c r="AL14" s="1610"/>
      <c r="AM14" s="3165" t="s">
        <v>227</v>
      </c>
      <c r="AN14" s="3166"/>
      <c r="AO14" s="1612">
        <v>4</v>
      </c>
      <c r="AP14" s="1612" t="s">
        <v>824</v>
      </c>
      <c r="AQ14" s="1610"/>
      <c r="AR14" s="2069"/>
      <c r="AS14" s="2068"/>
      <c r="AT14" s="3146"/>
      <c r="AU14" s="3147"/>
      <c r="AV14" s="2070" t="str">
        <f>CONCATENATE("1 Oui")</f>
        <v>1 Oui</v>
      </c>
      <c r="AW14" s="2805" t="s">
        <v>825</v>
      </c>
      <c r="AX14" s="3146"/>
      <c r="AY14" s="3147"/>
      <c r="AZ14" s="2071" t="s">
        <v>771</v>
      </c>
      <c r="BA14" s="3144"/>
      <c r="BB14" s="3146"/>
      <c r="BC14" s="3147"/>
      <c r="BD14" s="2782"/>
      <c r="BE14" s="2461"/>
      <c r="BF14" s="2450"/>
    </row>
    <row r="15" spans="1:58" ht="15.75" customHeight="1" x14ac:dyDescent="0.25">
      <c r="A15" s="2767"/>
      <c r="B15" s="2369"/>
      <c r="C15" s="2370"/>
      <c r="D15" s="369"/>
      <c r="E15" s="158"/>
      <c r="F15" s="58" t="s">
        <v>826</v>
      </c>
      <c r="G15" s="2883"/>
      <c r="H15" s="2366"/>
      <c r="I15" s="2785"/>
      <c r="J15" s="2366"/>
      <c r="K15" s="58"/>
      <c r="L15" s="58"/>
      <c r="M15" s="3130"/>
      <c r="N15" s="3188"/>
      <c r="O15" s="1623" t="s">
        <v>827</v>
      </c>
      <c r="P15" s="1893" t="s">
        <v>773</v>
      </c>
      <c r="Q15" s="1893" t="s">
        <v>773</v>
      </c>
      <c r="R15" s="1866" t="str">
        <f>CONCATENATE("2 Non ► (",TEXT(T4,"0.00"),")")</f>
        <v>2 Non ► (4.42)</v>
      </c>
      <c r="S15" s="2783"/>
      <c r="T15" s="2459" t="s">
        <v>773</v>
      </c>
      <c r="U15" s="1614">
        <v>4</v>
      </c>
      <c r="V15" s="1614" t="s">
        <v>824</v>
      </c>
      <c r="W15" s="1610"/>
      <c r="X15" s="2783"/>
      <c r="Y15" s="1613"/>
      <c r="Z15" s="1611"/>
      <c r="AA15" s="1611" t="s">
        <v>816</v>
      </c>
      <c r="AB15" s="1614"/>
      <c r="AC15" s="1614"/>
      <c r="AD15" s="1610"/>
      <c r="AE15" s="3130"/>
      <c r="AF15" s="2783"/>
      <c r="AG15" s="1613"/>
      <c r="AH15" s="1611"/>
      <c r="AI15" s="1611" t="s">
        <v>816</v>
      </c>
      <c r="AJ15" s="1614"/>
      <c r="AK15" s="1614"/>
      <c r="AL15" s="1610"/>
      <c r="AM15" s="2886" t="str">
        <f>CONCATENATE("2 Non ►(",TEXT(AR4,"0.00"),")")</f>
        <v>2 Non ►((4.49a))</v>
      </c>
      <c r="AN15" s="2885"/>
      <c r="AO15" s="1613"/>
      <c r="AP15" s="1614"/>
      <c r="AQ15" s="1610"/>
      <c r="AR15" s="2462" t="s">
        <v>771</v>
      </c>
      <c r="AS15" s="2068"/>
      <c r="AT15" s="3146"/>
      <c r="AU15" s="3147"/>
      <c r="AV15" s="2805" t="str">
        <f>CONCATENATE("2 Non  ►", TEXT(AZ4,"0.00"))</f>
        <v>2 Non  ►(4.49h)</v>
      </c>
      <c r="AW15" s="2805"/>
      <c r="AX15" s="3146"/>
      <c r="AY15" s="3147"/>
      <c r="AZ15" s="2071" t="str">
        <f>CONCATENATE("2 Non ►(",TEXT(BD4,"0.00"),")")</f>
        <v>2 Non ►(4.50)</v>
      </c>
      <c r="BA15" s="3144" t="s">
        <v>828</v>
      </c>
      <c r="BB15" s="3146"/>
      <c r="BC15" s="3147"/>
      <c r="BD15" s="2782"/>
      <c r="BE15" s="2461"/>
      <c r="BF15" s="2079"/>
    </row>
    <row r="16" spans="1:58" ht="13.5" customHeight="1" x14ac:dyDescent="0.35">
      <c r="A16" s="2767"/>
      <c r="B16" s="2369"/>
      <c r="C16" s="2370"/>
      <c r="D16" s="369"/>
      <c r="E16" s="158"/>
      <c r="F16" s="58" t="s">
        <v>829</v>
      </c>
      <c r="G16" s="2883"/>
      <c r="H16" s="938" t="s">
        <v>227</v>
      </c>
      <c r="I16" s="611"/>
      <c r="J16" s="938" t="s">
        <v>227</v>
      </c>
      <c r="K16" s="58"/>
      <c r="L16" s="58"/>
      <c r="M16" s="3130"/>
      <c r="N16" s="1546" t="s">
        <v>227</v>
      </c>
      <c r="O16" s="1620" t="s">
        <v>830</v>
      </c>
      <c r="P16" s="1778"/>
      <c r="Q16" s="1778"/>
      <c r="R16" s="1866"/>
      <c r="S16" s="2783"/>
      <c r="T16" s="159"/>
      <c r="U16" s="1613"/>
      <c r="V16" s="1614"/>
      <c r="W16" s="1610"/>
      <c r="X16" s="2783"/>
      <c r="Y16" s="1613"/>
      <c r="Z16" s="1612">
        <v>1</v>
      </c>
      <c r="AA16" s="1612" t="s">
        <v>817</v>
      </c>
      <c r="AB16" s="1614"/>
      <c r="AC16" s="1614"/>
      <c r="AD16" s="1610"/>
      <c r="AE16" s="3130"/>
      <c r="AF16" s="2783"/>
      <c r="AG16" s="1613"/>
      <c r="AH16" s="1612">
        <v>1</v>
      </c>
      <c r="AI16" s="1612" t="s">
        <v>817</v>
      </c>
      <c r="AJ16" s="1614"/>
      <c r="AK16" s="1614"/>
      <c r="AL16" s="1610"/>
      <c r="AM16" s="2886"/>
      <c r="AN16" s="2885"/>
      <c r="AO16" s="1613"/>
      <c r="AP16" s="1614"/>
      <c r="AQ16" s="1610"/>
      <c r="AR16" s="2070" t="str">
        <f>CONCATENATE("2 Non ►(",TEXT(BD4,"0.00"),")")</f>
        <v>2 Non ►(4.50)</v>
      </c>
      <c r="AS16" s="3071"/>
      <c r="AT16" s="3146"/>
      <c r="AU16" s="3147"/>
      <c r="AV16" s="2805"/>
      <c r="AW16" s="2805"/>
      <c r="AX16" s="3146"/>
      <c r="AY16" s="3147"/>
      <c r="AZ16" s="2069"/>
      <c r="BA16" s="3144"/>
      <c r="BB16" s="3146"/>
      <c r="BC16" s="3147"/>
      <c r="BD16" s="2782"/>
      <c r="BE16" s="2461"/>
      <c r="BF16" s="3160" t="str">
        <f>CONCATENATE("1 Oui
2 Non")</f>
        <v>1 Oui
2 Non</v>
      </c>
    </row>
    <row r="17" spans="1:58" ht="27" customHeight="1" x14ac:dyDescent="0.25">
      <c r="A17" s="2767"/>
      <c r="B17" s="3182" t="s">
        <v>831</v>
      </c>
      <c r="C17" s="3183"/>
      <c r="D17" s="3177" t="s">
        <v>832</v>
      </c>
      <c r="E17" s="3178"/>
      <c r="F17" s="2783" t="str">
        <f>CONCATENATE("5 Ménage comme employeur de personnel domestique")</f>
        <v>5 Ménage comme employeur de personnel domestique</v>
      </c>
      <c r="G17" s="2883"/>
      <c r="H17" s="2783" t="str">
        <f>CONCATENATE("2 Non ► (",TEXT(J4,"0.00"),")")</f>
        <v>2 Non ► (4.35)</v>
      </c>
      <c r="I17" s="611"/>
      <c r="J17" s="2783" t="str">
        <f>CONCATENATE("2 Non ")</f>
        <v xml:space="preserve">2 Non </v>
      </c>
      <c r="K17" s="58"/>
      <c r="L17" s="58"/>
      <c r="M17" s="3130"/>
      <c r="N17" s="1547" t="s">
        <v>240</v>
      </c>
      <c r="O17" s="1622" t="str">
        <f>CONCATENATE("Non Salarié")</f>
        <v>Non Salarié</v>
      </c>
      <c r="P17" s="1791"/>
      <c r="Q17" s="1791"/>
      <c r="S17" s="252"/>
      <c r="T17" s="159"/>
      <c r="U17" s="3150"/>
      <c r="V17" s="3151"/>
      <c r="W17" s="3152"/>
      <c r="X17" s="2783"/>
      <c r="Y17" s="1613"/>
      <c r="Z17" s="1612">
        <v>2</v>
      </c>
      <c r="AA17" s="1612" t="s">
        <v>347</v>
      </c>
      <c r="AB17" s="1614"/>
      <c r="AC17" s="1614"/>
      <c r="AD17" s="1610"/>
      <c r="AE17" s="3130"/>
      <c r="AF17" s="2783"/>
      <c r="AG17" s="1613"/>
      <c r="AH17" s="1612">
        <v>2</v>
      </c>
      <c r="AI17" s="1612" t="s">
        <v>347</v>
      </c>
      <c r="AJ17" s="1614"/>
      <c r="AK17" s="1614"/>
      <c r="AL17" s="1610"/>
      <c r="AM17" s="369"/>
      <c r="AN17" s="159"/>
      <c r="AO17" s="1613"/>
      <c r="AP17" s="1614"/>
      <c r="AQ17" s="1610"/>
      <c r="AR17" s="2071"/>
      <c r="AS17" s="3071"/>
      <c r="AT17" s="3146"/>
      <c r="AU17" s="3147"/>
      <c r="AV17" s="2421"/>
      <c r="AW17" s="2805"/>
      <c r="AX17" s="3146"/>
      <c r="AY17" s="3147"/>
      <c r="AZ17" s="2071"/>
      <c r="BA17" s="2072"/>
      <c r="BB17" s="3146"/>
      <c r="BC17" s="3147"/>
      <c r="BD17" s="1427"/>
      <c r="BE17" s="2080"/>
      <c r="BF17" s="3160"/>
    </row>
    <row r="18" spans="1:58" ht="13.5" customHeight="1" x14ac:dyDescent="0.35">
      <c r="A18" s="2767"/>
      <c r="B18" s="3182"/>
      <c r="C18" s="3183"/>
      <c r="D18" s="3177"/>
      <c r="E18" s="3178"/>
      <c r="F18" s="2783"/>
      <c r="G18" s="1626"/>
      <c r="H18" s="2783"/>
      <c r="I18" s="2369"/>
      <c r="J18" s="2783"/>
      <c r="K18" s="58"/>
      <c r="L18" s="58"/>
      <c r="M18" s="3130"/>
      <c r="N18" s="1548"/>
      <c r="O18" s="3179" t="str">
        <f xml:space="preserve"> CONCATENATE("7 Stagiaire ou 
Apprenti non rénuméré  ►(",TEXT(R4,"0.00"),")")</f>
        <v>7 Stagiaire ou 
Apprenti non rénuméré  ►(4.40)</v>
      </c>
      <c r="P18" s="1984"/>
      <c r="Q18" s="1984"/>
      <c r="S18" s="2366"/>
      <c r="T18" s="159"/>
      <c r="U18" s="3150"/>
      <c r="V18" s="3151"/>
      <c r="W18" s="3152"/>
      <c r="X18" s="369" t="s">
        <v>227</v>
      </c>
      <c r="Y18" s="1613"/>
      <c r="Z18" s="1612">
        <v>3</v>
      </c>
      <c r="AA18" s="1612" t="s">
        <v>820</v>
      </c>
      <c r="AB18" s="1614"/>
      <c r="AC18" s="1614"/>
      <c r="AD18" s="1610"/>
      <c r="AE18" s="3130"/>
      <c r="AF18" s="1339"/>
      <c r="AG18" s="1613"/>
      <c r="AH18" s="1612">
        <v>3</v>
      </c>
      <c r="AI18" s="1612" t="s">
        <v>820</v>
      </c>
      <c r="AJ18" s="1614"/>
      <c r="AK18" s="1614"/>
      <c r="AL18" s="1610"/>
      <c r="AM18" s="369"/>
      <c r="AN18" s="159"/>
      <c r="AO18" s="1613"/>
      <c r="AP18" s="1614"/>
      <c r="AQ18" s="1610"/>
      <c r="AR18" s="2071"/>
      <c r="AS18" s="3071"/>
      <c r="AT18" s="3146"/>
      <c r="AU18" s="3147"/>
      <c r="AV18" s="2071"/>
      <c r="AW18" s="2805"/>
      <c r="AX18" s="3146"/>
      <c r="AY18" s="3147"/>
      <c r="AZ18" s="2071"/>
      <c r="BA18" s="2056"/>
      <c r="BB18" s="3146"/>
      <c r="BC18" s="3147"/>
      <c r="BD18" s="252" t="str">
        <f>CONCATENATE("1 Oui  ►(",TEXT(S04_Emploi_C!B4,"0.00"),")")</f>
        <v>1 Oui  ►(4.51)</v>
      </c>
      <c r="BE18" s="2081" t="s">
        <v>771</v>
      </c>
      <c r="BF18" s="2079"/>
    </row>
    <row r="19" spans="1:58" ht="27" customHeight="1" x14ac:dyDescent="0.35">
      <c r="A19" s="2767"/>
      <c r="B19" s="3182"/>
      <c r="C19" s="3183"/>
      <c r="D19" s="3177"/>
      <c r="E19" s="3178"/>
      <c r="F19" s="2453" t="str">
        <f>CONCATENATE("6 Organisme international /Ambassade")</f>
        <v>6 Organisme international /Ambassade</v>
      </c>
      <c r="G19" s="1626"/>
      <c r="H19" s="2366"/>
      <c r="I19" s="2369"/>
      <c r="J19" s="2366"/>
      <c r="K19" s="58"/>
      <c r="L19" s="58"/>
      <c r="M19" s="3130"/>
      <c r="N19" s="1548"/>
      <c r="O19" s="3179"/>
      <c r="P19" s="1984"/>
      <c r="Q19" s="1984"/>
      <c r="R19" s="2398"/>
      <c r="S19" s="2366"/>
      <c r="T19" s="159"/>
      <c r="U19" s="3150"/>
      <c r="V19" s="3151"/>
      <c r="W19" s="3152"/>
      <c r="X19" s="2932" t="str">
        <f>CONCATENATE("2 Non ►( ",TEXT(AF4,"0.00"),")")</f>
        <v>2 Non ►( 4.46)</v>
      </c>
      <c r="Y19" s="1613"/>
      <c r="Z19" s="1612">
        <v>4</v>
      </c>
      <c r="AA19" s="1612" t="s">
        <v>824</v>
      </c>
      <c r="AB19" s="1614"/>
      <c r="AC19" s="1614"/>
      <c r="AD19" s="1610"/>
      <c r="AE19" s="3130"/>
      <c r="AF19" s="1339"/>
      <c r="AG19" s="1613"/>
      <c r="AH19" s="1612">
        <v>4</v>
      </c>
      <c r="AI19" s="1612" t="s">
        <v>824</v>
      </c>
      <c r="AJ19" s="1614"/>
      <c r="AK19" s="1614"/>
      <c r="AL19" s="1610"/>
      <c r="AM19" s="369"/>
      <c r="AN19" s="159"/>
      <c r="AO19" s="1613"/>
      <c r="AP19" s="1614"/>
      <c r="AQ19" s="1610"/>
      <c r="AR19" s="2071"/>
      <c r="AS19" s="2019"/>
      <c r="AT19" s="3146"/>
      <c r="AU19" s="3147"/>
      <c r="AV19" s="2071"/>
      <c r="AW19" s="2805"/>
      <c r="AX19" s="3146"/>
      <c r="AY19" s="3147"/>
      <c r="AZ19" s="2071"/>
      <c r="BA19" s="2056"/>
      <c r="BB19" s="3146"/>
      <c r="BC19" s="3147"/>
      <c r="BD19" s="2453" t="s">
        <v>240</v>
      </c>
      <c r="BE19" s="2068" t="s">
        <v>240</v>
      </c>
      <c r="BF19" s="3160" t="str">
        <f>CONCATENATE(" ► ► Section 5")</f>
        <v xml:space="preserve"> ► ► Section 5</v>
      </c>
    </row>
    <row r="20" spans="1:58" ht="16" customHeight="1" x14ac:dyDescent="0.35">
      <c r="A20" s="2767"/>
      <c r="B20" s="3182"/>
      <c r="C20" s="3183"/>
      <c r="D20" s="3177"/>
      <c r="E20" s="3178"/>
      <c r="F20" s="1339"/>
      <c r="G20" s="1626"/>
      <c r="H20" s="252"/>
      <c r="I20" s="611"/>
      <c r="J20" s="252"/>
      <c r="K20" s="58"/>
      <c r="L20" s="58"/>
      <c r="M20" s="3130"/>
      <c r="N20" s="1546"/>
      <c r="O20" s="3180" t="str">
        <f>CONCATENATE("8 Travailleur familial contribuant à une entreprise familiale ►(",TEXT(R4,"0.00"),")")</f>
        <v>8 Travailleur familial contribuant à une entreprise familiale ►(4.40)</v>
      </c>
      <c r="P20" s="2457"/>
      <c r="Q20" s="2457"/>
      <c r="R20" s="1620"/>
      <c r="S20" s="252"/>
      <c r="T20" s="159"/>
      <c r="U20" s="3150"/>
      <c r="V20" s="3151"/>
      <c r="W20" s="3152"/>
      <c r="X20" s="2932"/>
      <c r="Y20" s="1613"/>
      <c r="Z20" s="1614"/>
      <c r="AA20" s="1614"/>
      <c r="AB20" s="1614"/>
      <c r="AC20" s="1614"/>
      <c r="AD20" s="1610"/>
      <c r="AE20" s="3130"/>
      <c r="AF20" s="58" t="s">
        <v>227</v>
      </c>
      <c r="AG20" s="1613"/>
      <c r="AH20" s="1614"/>
      <c r="AI20" s="1614"/>
      <c r="AJ20" s="1614"/>
      <c r="AK20" s="1614"/>
      <c r="AL20" s="1610"/>
      <c r="AM20" s="369"/>
      <c r="AN20" s="159"/>
      <c r="AO20" s="1613"/>
      <c r="AP20" s="1614"/>
      <c r="AQ20" s="1610"/>
      <c r="AR20" s="2071"/>
      <c r="AS20" s="2019"/>
      <c r="AT20" s="3146"/>
      <c r="AU20" s="3147"/>
      <c r="AV20" s="2071"/>
      <c r="AW20" s="2805"/>
      <c r="AX20" s="3146"/>
      <c r="AY20" s="3147"/>
      <c r="AZ20" s="2071"/>
      <c r="BA20" s="2056"/>
      <c r="BB20" s="3146"/>
      <c r="BC20" s="3147"/>
      <c r="BD20" s="2387"/>
      <c r="BE20" s="2082"/>
      <c r="BF20" s="3160"/>
    </row>
    <row r="21" spans="1:58" ht="12.5" x14ac:dyDescent="0.25">
      <c r="A21" s="2767"/>
      <c r="B21" s="3182"/>
      <c r="C21" s="3183"/>
      <c r="D21" s="3177"/>
      <c r="E21" s="3178"/>
      <c r="F21" s="58"/>
      <c r="G21" s="1626"/>
      <c r="H21" s="2366"/>
      <c r="I21" s="2369"/>
      <c r="J21" s="2366"/>
      <c r="K21" s="58"/>
      <c r="L21" s="58"/>
      <c r="M21" s="3130"/>
      <c r="N21" s="1548"/>
      <c r="O21" s="3180"/>
      <c r="P21" s="2457"/>
      <c r="Q21" s="2457"/>
      <c r="R21" s="2398"/>
      <c r="S21" s="2366"/>
      <c r="T21" s="159"/>
      <c r="U21" s="3150"/>
      <c r="V21" s="3151"/>
      <c r="W21" s="3152"/>
      <c r="X21" s="684"/>
      <c r="Y21" s="1613"/>
      <c r="Z21" s="1614"/>
      <c r="AA21" s="1614"/>
      <c r="AB21" s="1614"/>
      <c r="AC21" s="1614"/>
      <c r="AD21" s="1610"/>
      <c r="AE21" s="3130"/>
      <c r="AF21" s="346" t="str">
        <f>CONCATENATE("2 Non ►(",TEXT(AM4,"0.00"), ")")</f>
        <v>2 Non ►(4.48)</v>
      </c>
      <c r="AG21" s="1613"/>
      <c r="AH21" s="1614"/>
      <c r="AI21" s="1614"/>
      <c r="AJ21" s="1614"/>
      <c r="AK21" s="1614"/>
      <c r="AL21" s="1610"/>
      <c r="AM21" s="369"/>
      <c r="AN21" s="159"/>
      <c r="AO21" s="1613"/>
      <c r="AP21" s="1614"/>
      <c r="AQ21" s="1610"/>
      <c r="AR21" s="2071"/>
      <c r="AS21" s="2019"/>
      <c r="AT21" s="3146"/>
      <c r="AU21" s="3147"/>
      <c r="AV21" s="2071"/>
      <c r="AW21" s="2070"/>
      <c r="AX21" s="3146"/>
      <c r="AY21" s="3147"/>
      <c r="AZ21" s="2071"/>
      <c r="BA21" s="2056"/>
      <c r="BB21" s="3146"/>
      <c r="BC21" s="3147"/>
      <c r="BD21" s="2366"/>
      <c r="BE21" s="2420"/>
      <c r="BF21" s="2083"/>
    </row>
    <row r="22" spans="1:58" ht="12.5" x14ac:dyDescent="0.25">
      <c r="A22" s="2767"/>
      <c r="B22" s="3182"/>
      <c r="C22" s="3183"/>
      <c r="D22" s="3177"/>
      <c r="E22" s="3178"/>
      <c r="F22" s="2366"/>
      <c r="G22" s="1626"/>
      <c r="H22" s="252"/>
      <c r="I22" s="611"/>
      <c r="J22" s="252"/>
      <c r="K22" s="58"/>
      <c r="L22" s="58"/>
      <c r="M22" s="3130"/>
      <c r="N22" s="1546"/>
      <c r="O22" s="1625" t="s">
        <v>833</v>
      </c>
      <c r="P22" s="2444"/>
      <c r="Q22" s="2444"/>
      <c r="R22" s="1620"/>
      <c r="S22" s="252"/>
      <c r="T22" s="159"/>
      <c r="U22" s="369"/>
      <c r="V22" s="158"/>
      <c r="W22" s="159"/>
      <c r="X22" s="684"/>
      <c r="Y22" s="1613"/>
      <c r="Z22" s="1614"/>
      <c r="AA22" s="1614"/>
      <c r="AB22" s="1614"/>
      <c r="AC22" s="1614"/>
      <c r="AD22" s="1610"/>
      <c r="AE22" s="3130"/>
      <c r="AF22" s="671"/>
      <c r="AG22" s="1613"/>
      <c r="AH22" s="1614"/>
      <c r="AI22" s="1614"/>
      <c r="AJ22" s="1614"/>
      <c r="AK22" s="1614"/>
      <c r="AL22" s="1610"/>
      <c r="AM22" s="369"/>
      <c r="AN22" s="159"/>
      <c r="AO22" s="1613"/>
      <c r="AP22" s="1614"/>
      <c r="AQ22" s="1610"/>
      <c r="AR22" s="2071"/>
      <c r="AS22" s="2019"/>
      <c r="AT22" s="2059"/>
      <c r="AU22" s="2060"/>
      <c r="AV22" s="2071"/>
      <c r="AW22" s="2073"/>
      <c r="AX22" s="2059"/>
      <c r="AY22" s="2060"/>
      <c r="AZ22" s="2071"/>
      <c r="BA22" s="2056"/>
      <c r="BB22" s="2059"/>
      <c r="BC22" s="2060"/>
      <c r="BD22" s="252"/>
      <c r="BE22" s="2081"/>
      <c r="BF22" s="2084"/>
    </row>
    <row r="23" spans="1:58" ht="13.5" customHeight="1" x14ac:dyDescent="0.25">
      <c r="A23" s="2767"/>
      <c r="B23" s="158"/>
      <c r="C23" s="159"/>
      <c r="D23" s="369"/>
      <c r="E23" s="158"/>
      <c r="F23" s="362"/>
      <c r="G23" s="1626"/>
      <c r="H23" s="990"/>
      <c r="I23" s="611"/>
      <c r="J23" s="990"/>
      <c r="K23" s="58"/>
      <c r="L23" s="362"/>
      <c r="M23" s="3130"/>
      <c r="N23" s="1549"/>
      <c r="O23" s="1623" t="s">
        <v>834</v>
      </c>
      <c r="P23" s="1882"/>
      <c r="Q23" s="1882" t="str">
        <f>CONCATENATE("►►(",TEXT(AR4,"0.00"),")")</f>
        <v>►►((4.49a))</v>
      </c>
      <c r="R23" s="1621"/>
      <c r="S23" s="990"/>
      <c r="T23" s="159"/>
      <c r="U23" s="415"/>
      <c r="V23" s="416"/>
      <c r="W23" s="3148" t="s">
        <v>835</v>
      </c>
      <c r="X23" s="671"/>
      <c r="Y23" s="3189" t="s">
        <v>353</v>
      </c>
      <c r="Z23" s="3190"/>
      <c r="AA23" s="3191"/>
      <c r="AB23" s="3194" t="s">
        <v>816</v>
      </c>
      <c r="AC23" s="3190"/>
      <c r="AD23" s="3191"/>
      <c r="AE23" s="3130"/>
      <c r="AF23" s="671"/>
      <c r="AG23" s="3189" t="s">
        <v>353</v>
      </c>
      <c r="AH23" s="3190"/>
      <c r="AI23" s="3191"/>
      <c r="AJ23" s="3194" t="s">
        <v>835</v>
      </c>
      <c r="AK23" s="3190"/>
      <c r="AL23" s="3190"/>
      <c r="AM23" s="369"/>
      <c r="AN23" s="159"/>
      <c r="AO23" s="3194" t="s">
        <v>353</v>
      </c>
      <c r="AP23" s="3196"/>
      <c r="AQ23" s="3148" t="s">
        <v>835</v>
      </c>
      <c r="AR23" s="2412"/>
      <c r="AS23" s="2074"/>
      <c r="AT23" s="2061"/>
      <c r="AU23" s="3142" t="s">
        <v>835</v>
      </c>
      <c r="AV23" s="2071"/>
      <c r="AW23" s="2075"/>
      <c r="AX23" s="2061"/>
      <c r="AY23" s="3142" t="s">
        <v>835</v>
      </c>
      <c r="AZ23" s="2435"/>
      <c r="BA23" s="2413"/>
      <c r="BB23" s="2063"/>
      <c r="BC23" s="3142" t="s">
        <v>835</v>
      </c>
      <c r="BD23" s="252"/>
      <c r="BE23" s="2081"/>
      <c r="BF23" s="2048"/>
    </row>
    <row r="24" spans="1:58" ht="30" customHeight="1" thickBot="1" x14ac:dyDescent="0.3">
      <c r="A24" s="2768"/>
      <c r="B24" s="417" t="s">
        <v>836</v>
      </c>
      <c r="C24" s="2344" t="s">
        <v>346</v>
      </c>
      <c r="D24" s="2344" t="s">
        <v>837</v>
      </c>
      <c r="E24" s="2344" t="s">
        <v>346</v>
      </c>
      <c r="F24" s="183" t="s">
        <v>346</v>
      </c>
      <c r="G24" s="183" t="s">
        <v>347</v>
      </c>
      <c r="H24" s="1215" t="s">
        <v>346</v>
      </c>
      <c r="I24" s="1214" t="s">
        <v>838</v>
      </c>
      <c r="J24" s="1216" t="s">
        <v>346</v>
      </c>
      <c r="K24" s="183" t="s">
        <v>838</v>
      </c>
      <c r="L24" s="183" t="s">
        <v>777</v>
      </c>
      <c r="M24" s="2768"/>
      <c r="N24" s="1550" t="s">
        <v>346</v>
      </c>
      <c r="O24" s="183" t="s">
        <v>346</v>
      </c>
      <c r="P24" s="1779" t="s">
        <v>346</v>
      </c>
      <c r="Q24" s="1779" t="s">
        <v>346</v>
      </c>
      <c r="R24" s="1865" t="s">
        <v>346</v>
      </c>
      <c r="S24" s="2345" t="s">
        <v>838</v>
      </c>
      <c r="T24" s="467" t="s">
        <v>346</v>
      </c>
      <c r="U24" s="3175" t="s">
        <v>519</v>
      </c>
      <c r="V24" s="3176"/>
      <c r="W24" s="3149"/>
      <c r="X24" s="672"/>
      <c r="Y24" s="3192"/>
      <c r="Z24" s="3192"/>
      <c r="AA24" s="3193"/>
      <c r="AB24" s="3195"/>
      <c r="AC24" s="3192"/>
      <c r="AD24" s="3193"/>
      <c r="AE24" s="3172"/>
      <c r="AF24" s="467" t="s">
        <v>346</v>
      </c>
      <c r="AG24" s="3192"/>
      <c r="AH24" s="3192"/>
      <c r="AI24" s="3193"/>
      <c r="AJ24" s="3195"/>
      <c r="AK24" s="3192"/>
      <c r="AL24" s="3192"/>
      <c r="AM24" s="2816" t="s">
        <v>346</v>
      </c>
      <c r="AN24" s="2818"/>
      <c r="AO24" s="3197"/>
      <c r="AP24" s="3198"/>
      <c r="AQ24" s="3149"/>
      <c r="AR24" s="2076" t="s">
        <v>346</v>
      </c>
      <c r="AS24" s="2077" t="s">
        <v>346</v>
      </c>
      <c r="AT24" s="2062" t="s">
        <v>141</v>
      </c>
      <c r="AU24" s="3143"/>
      <c r="AV24" s="2011" t="s">
        <v>346</v>
      </c>
      <c r="AW24" s="1908" t="s">
        <v>346</v>
      </c>
      <c r="AX24" s="2062" t="s">
        <v>141</v>
      </c>
      <c r="AY24" s="3143"/>
      <c r="AZ24" s="2078" t="s">
        <v>346</v>
      </c>
      <c r="BA24" s="1908" t="s">
        <v>346</v>
      </c>
      <c r="BB24" s="2062" t="s">
        <v>141</v>
      </c>
      <c r="BC24" s="3143"/>
      <c r="BD24" s="183" t="s">
        <v>346</v>
      </c>
      <c r="BE24" s="2085" t="s">
        <v>346</v>
      </c>
      <c r="BF24" s="2086" t="s">
        <v>346</v>
      </c>
    </row>
    <row r="25" spans="1:58" ht="14.25" customHeight="1" thickTop="1" x14ac:dyDescent="0.35">
      <c r="A25" s="419" t="s">
        <v>680</v>
      </c>
      <c r="B25" s="420"/>
      <c r="C25" s="196"/>
      <c r="D25" s="196"/>
      <c r="E25" s="421"/>
      <c r="F25" s="196"/>
      <c r="G25" s="196"/>
      <c r="H25" s="1105"/>
      <c r="I25" s="1105"/>
      <c r="J25" s="1105"/>
      <c r="K25" s="196"/>
      <c r="L25" s="473"/>
      <c r="M25" s="419" t="s">
        <v>680</v>
      </c>
      <c r="N25" s="1551"/>
      <c r="O25" s="196"/>
      <c r="P25" s="1894"/>
      <c r="Q25" s="1894"/>
      <c r="R25" s="1105"/>
      <c r="S25" s="1105"/>
      <c r="T25" s="744"/>
      <c r="U25" s="425"/>
      <c r="V25" s="424"/>
      <c r="W25" s="420"/>
      <c r="X25" s="196"/>
      <c r="Y25" s="422"/>
      <c r="Z25" s="422"/>
      <c r="AA25" s="420"/>
      <c r="AB25" s="421"/>
      <c r="AC25" s="426"/>
      <c r="AD25" s="427"/>
      <c r="AE25" s="419" t="s">
        <v>680</v>
      </c>
      <c r="AF25" s="196"/>
      <c r="AG25" s="422"/>
      <c r="AH25" s="422"/>
      <c r="AI25" s="420"/>
      <c r="AJ25" s="421"/>
      <c r="AK25" s="426"/>
      <c r="AL25" s="427"/>
      <c r="AM25" s="428"/>
      <c r="AN25" s="427"/>
      <c r="AO25" s="428"/>
      <c r="AP25" s="427"/>
      <c r="AQ25" s="423"/>
      <c r="AR25" s="427"/>
      <c r="AS25" s="427"/>
      <c r="AT25" s="427"/>
      <c r="AU25" s="427"/>
      <c r="AV25" s="420"/>
      <c r="AW25" s="1105"/>
      <c r="AX25" s="427"/>
      <c r="AY25" s="427"/>
      <c r="AZ25" s="423"/>
      <c r="BA25" s="423"/>
      <c r="BB25" s="427"/>
      <c r="BC25" s="427"/>
      <c r="BD25" s="1106"/>
      <c r="BE25" s="1991"/>
      <c r="BF25" s="1985"/>
    </row>
    <row r="26" spans="1:58" ht="14.25" customHeight="1" x14ac:dyDescent="0.35">
      <c r="A26" s="429" t="s">
        <v>681</v>
      </c>
      <c r="B26" s="430"/>
      <c r="C26" s="199"/>
      <c r="D26" s="199"/>
      <c r="E26" s="431"/>
      <c r="F26" s="199"/>
      <c r="G26" s="199"/>
      <c r="H26" s="1108"/>
      <c r="I26" s="1108"/>
      <c r="J26" s="1108"/>
      <c r="K26" s="199"/>
      <c r="L26" s="478"/>
      <c r="M26" s="429" t="s">
        <v>681</v>
      </c>
      <c r="N26" s="1552"/>
      <c r="O26" s="199"/>
      <c r="P26" s="1895"/>
      <c r="Q26" s="1895"/>
      <c r="R26" s="1108"/>
      <c r="S26" s="1108"/>
      <c r="T26" s="199"/>
      <c r="U26" s="435"/>
      <c r="V26" s="434"/>
      <c r="W26" s="430"/>
      <c r="X26" s="199"/>
      <c r="Y26" s="432"/>
      <c r="Z26" s="432"/>
      <c r="AA26" s="430"/>
      <c r="AB26" s="431"/>
      <c r="AC26" s="436"/>
      <c r="AD26" s="437"/>
      <c r="AE26" s="429" t="s">
        <v>681</v>
      </c>
      <c r="AF26" s="199"/>
      <c r="AG26" s="432"/>
      <c r="AH26" s="432"/>
      <c r="AI26" s="430"/>
      <c r="AJ26" s="431"/>
      <c r="AK26" s="436"/>
      <c r="AL26" s="437"/>
      <c r="AM26" s="438"/>
      <c r="AN26" s="437"/>
      <c r="AO26" s="438"/>
      <c r="AP26" s="437"/>
      <c r="AQ26" s="433"/>
      <c r="AR26" s="437"/>
      <c r="AS26" s="437"/>
      <c r="AT26" s="437"/>
      <c r="AU26" s="437"/>
      <c r="AV26" s="430"/>
      <c r="AW26" s="1108"/>
      <c r="AX26" s="437"/>
      <c r="AY26" s="437"/>
      <c r="AZ26" s="433"/>
      <c r="BA26" s="433"/>
      <c r="BB26" s="437"/>
      <c r="BC26" s="437"/>
      <c r="BD26" s="1107"/>
      <c r="BE26" s="1821"/>
      <c r="BF26" s="1986"/>
    </row>
    <row r="27" spans="1:58" ht="14.25" customHeight="1" x14ac:dyDescent="0.35">
      <c r="A27" s="439">
        <v>3</v>
      </c>
      <c r="B27" s="430"/>
      <c r="C27" s="199"/>
      <c r="D27" s="199"/>
      <c r="E27" s="431"/>
      <c r="F27" s="199"/>
      <c r="G27" s="199"/>
      <c r="H27" s="1108"/>
      <c r="I27" s="1108"/>
      <c r="J27" s="1108"/>
      <c r="K27" s="199"/>
      <c r="L27" s="478"/>
      <c r="M27" s="439">
        <v>3</v>
      </c>
      <c r="N27" s="1552"/>
      <c r="O27" s="199"/>
      <c r="P27" s="1895"/>
      <c r="Q27" s="1895"/>
      <c r="R27" s="1108"/>
      <c r="S27" s="1108"/>
      <c r="T27" s="199"/>
      <c r="U27" s="435"/>
      <c r="V27" s="434"/>
      <c r="W27" s="430"/>
      <c r="X27" s="199"/>
      <c r="Y27" s="432"/>
      <c r="Z27" s="432"/>
      <c r="AA27" s="430"/>
      <c r="AB27" s="431"/>
      <c r="AC27" s="436"/>
      <c r="AD27" s="437"/>
      <c r="AE27" s="439">
        <v>3</v>
      </c>
      <c r="AF27" s="199"/>
      <c r="AG27" s="432"/>
      <c r="AH27" s="432"/>
      <c r="AI27" s="430"/>
      <c r="AJ27" s="431"/>
      <c r="AK27" s="436"/>
      <c r="AL27" s="437"/>
      <c r="AM27" s="438"/>
      <c r="AN27" s="437"/>
      <c r="AO27" s="438"/>
      <c r="AP27" s="437"/>
      <c r="AQ27" s="433"/>
      <c r="AR27" s="437"/>
      <c r="AS27" s="437"/>
      <c r="AT27" s="437"/>
      <c r="AU27" s="437"/>
      <c r="AV27" s="430"/>
      <c r="AW27" s="1108"/>
      <c r="AX27" s="437"/>
      <c r="AY27" s="437"/>
      <c r="AZ27" s="433"/>
      <c r="BA27" s="433"/>
      <c r="BB27" s="437"/>
      <c r="BC27" s="437"/>
      <c r="BD27" s="1107"/>
      <c r="BE27" s="1820"/>
      <c r="BF27" s="1987"/>
    </row>
    <row r="28" spans="1:58" ht="14.25" customHeight="1" x14ac:dyDescent="0.35">
      <c r="A28" s="439">
        <v>4</v>
      </c>
      <c r="B28" s="430"/>
      <c r="C28" s="199"/>
      <c r="D28" s="199"/>
      <c r="E28" s="431"/>
      <c r="F28" s="199"/>
      <c r="G28" s="199"/>
      <c r="H28" s="1108"/>
      <c r="I28" s="1108"/>
      <c r="J28" s="1108"/>
      <c r="K28" s="199"/>
      <c r="L28" s="478"/>
      <c r="M28" s="439">
        <v>4</v>
      </c>
      <c r="N28" s="1552"/>
      <c r="O28" s="199"/>
      <c r="P28" s="1895"/>
      <c r="Q28" s="1895"/>
      <c r="R28" s="1108"/>
      <c r="S28" s="1108"/>
      <c r="T28" s="199"/>
      <c r="U28" s="435"/>
      <c r="V28" s="434"/>
      <c r="W28" s="430"/>
      <c r="X28" s="199"/>
      <c r="Y28" s="432"/>
      <c r="Z28" s="432"/>
      <c r="AA28" s="430"/>
      <c r="AB28" s="431"/>
      <c r="AC28" s="436"/>
      <c r="AD28" s="437"/>
      <c r="AE28" s="439">
        <v>4</v>
      </c>
      <c r="AF28" s="199"/>
      <c r="AG28" s="432"/>
      <c r="AH28" s="432"/>
      <c r="AI28" s="430"/>
      <c r="AJ28" s="431"/>
      <c r="AK28" s="436"/>
      <c r="AL28" s="437"/>
      <c r="AM28" s="438"/>
      <c r="AN28" s="437"/>
      <c r="AO28" s="438"/>
      <c r="AP28" s="437"/>
      <c r="AQ28" s="433"/>
      <c r="AR28" s="437"/>
      <c r="AS28" s="437"/>
      <c r="AT28" s="437"/>
      <c r="AU28" s="437"/>
      <c r="AV28" s="430"/>
      <c r="AW28" s="1108"/>
      <c r="AX28" s="437"/>
      <c r="AY28" s="437"/>
      <c r="AZ28" s="433"/>
      <c r="BA28" s="433"/>
      <c r="BB28" s="437"/>
      <c r="BC28" s="437"/>
      <c r="BD28" s="1107"/>
      <c r="BE28" s="1820"/>
      <c r="BF28" s="1987"/>
    </row>
    <row r="29" spans="1:58" ht="14.25" customHeight="1" x14ac:dyDescent="0.35">
      <c r="A29" s="439">
        <v>5</v>
      </c>
      <c r="B29" s="430"/>
      <c r="C29" s="199"/>
      <c r="D29" s="199"/>
      <c r="E29" s="431"/>
      <c r="F29" s="199"/>
      <c r="G29" s="199"/>
      <c r="H29" s="1108"/>
      <c r="I29" s="1108"/>
      <c r="J29" s="1108"/>
      <c r="K29" s="199"/>
      <c r="L29" s="478"/>
      <c r="M29" s="439">
        <v>5</v>
      </c>
      <c r="N29" s="1552"/>
      <c r="O29" s="199"/>
      <c r="P29" s="1895"/>
      <c r="Q29" s="1895"/>
      <c r="R29" s="1108"/>
      <c r="S29" s="1108"/>
      <c r="T29" s="199"/>
      <c r="U29" s="435"/>
      <c r="V29" s="434"/>
      <c r="W29" s="430"/>
      <c r="X29" s="199"/>
      <c r="Y29" s="432"/>
      <c r="Z29" s="432"/>
      <c r="AA29" s="430"/>
      <c r="AB29" s="431"/>
      <c r="AC29" s="436"/>
      <c r="AD29" s="437"/>
      <c r="AE29" s="439">
        <v>5</v>
      </c>
      <c r="AF29" s="199"/>
      <c r="AG29" s="432"/>
      <c r="AH29" s="432"/>
      <c r="AI29" s="430"/>
      <c r="AJ29" s="431"/>
      <c r="AK29" s="436"/>
      <c r="AL29" s="437"/>
      <c r="AM29" s="438"/>
      <c r="AN29" s="437"/>
      <c r="AO29" s="438"/>
      <c r="AP29" s="437"/>
      <c r="AQ29" s="433"/>
      <c r="AR29" s="437"/>
      <c r="AS29" s="437"/>
      <c r="AT29" s="437"/>
      <c r="AU29" s="437"/>
      <c r="AV29" s="430"/>
      <c r="AW29" s="1108"/>
      <c r="AX29" s="437"/>
      <c r="AY29" s="437"/>
      <c r="AZ29" s="433"/>
      <c r="BA29" s="433"/>
      <c r="BB29" s="437"/>
      <c r="BC29" s="437"/>
      <c r="BD29" s="1107"/>
      <c r="BE29" s="1821"/>
      <c r="BF29" s="1988"/>
    </row>
    <row r="30" spans="1:58" ht="14.25" customHeight="1" x14ac:dyDescent="0.35">
      <c r="A30" s="440">
        <v>6</v>
      </c>
      <c r="B30" s="430"/>
      <c r="C30" s="199"/>
      <c r="D30" s="199"/>
      <c r="E30" s="431"/>
      <c r="F30" s="199"/>
      <c r="G30" s="199"/>
      <c r="H30" s="1108"/>
      <c r="I30" s="1108"/>
      <c r="J30" s="1108"/>
      <c r="K30" s="199"/>
      <c r="L30" s="478"/>
      <c r="M30" s="440">
        <v>6</v>
      </c>
      <c r="N30" s="1552"/>
      <c r="O30" s="199"/>
      <c r="P30" s="1895"/>
      <c r="Q30" s="1895"/>
      <c r="R30" s="1108"/>
      <c r="S30" s="1108"/>
      <c r="T30" s="199"/>
      <c r="U30" s="435"/>
      <c r="V30" s="434"/>
      <c r="W30" s="430"/>
      <c r="X30" s="199"/>
      <c r="Y30" s="432"/>
      <c r="Z30" s="432"/>
      <c r="AA30" s="430"/>
      <c r="AB30" s="431"/>
      <c r="AC30" s="436"/>
      <c r="AD30" s="437"/>
      <c r="AE30" s="440">
        <v>6</v>
      </c>
      <c r="AF30" s="199"/>
      <c r="AG30" s="432"/>
      <c r="AH30" s="432"/>
      <c r="AI30" s="430"/>
      <c r="AJ30" s="431"/>
      <c r="AK30" s="436"/>
      <c r="AL30" s="437"/>
      <c r="AM30" s="438"/>
      <c r="AN30" s="437"/>
      <c r="AO30" s="438"/>
      <c r="AP30" s="437"/>
      <c r="AQ30" s="433"/>
      <c r="AR30" s="437"/>
      <c r="AS30" s="437"/>
      <c r="AT30" s="437"/>
      <c r="AU30" s="437"/>
      <c r="AV30" s="430"/>
      <c r="AW30" s="1108"/>
      <c r="AX30" s="437"/>
      <c r="AY30" s="437"/>
      <c r="AZ30" s="433"/>
      <c r="BA30" s="433"/>
      <c r="BB30" s="437"/>
      <c r="BC30" s="437"/>
      <c r="BD30" s="1107"/>
      <c r="BE30" s="1822"/>
      <c r="BF30" s="1989"/>
    </row>
    <row r="31" spans="1:58" ht="14.25" customHeight="1" x14ac:dyDescent="0.35">
      <c r="A31" s="440">
        <v>7</v>
      </c>
      <c r="B31" s="430"/>
      <c r="C31" s="199"/>
      <c r="D31" s="199"/>
      <c r="E31" s="431"/>
      <c r="F31" s="199"/>
      <c r="G31" s="199"/>
      <c r="H31" s="1108"/>
      <c r="I31" s="1108"/>
      <c r="J31" s="1108"/>
      <c r="K31" s="199"/>
      <c r="L31" s="478"/>
      <c r="M31" s="440">
        <v>7</v>
      </c>
      <c r="N31" s="1552"/>
      <c r="O31" s="199"/>
      <c r="P31" s="1895"/>
      <c r="Q31" s="1895"/>
      <c r="R31" s="1108"/>
      <c r="S31" s="1108"/>
      <c r="T31" s="199"/>
      <c r="U31" s="435"/>
      <c r="V31" s="434"/>
      <c r="W31" s="430"/>
      <c r="X31" s="199"/>
      <c r="Y31" s="432"/>
      <c r="Z31" s="432"/>
      <c r="AA31" s="430"/>
      <c r="AB31" s="431"/>
      <c r="AC31" s="436"/>
      <c r="AD31" s="437"/>
      <c r="AE31" s="440">
        <v>7</v>
      </c>
      <c r="AF31" s="199"/>
      <c r="AG31" s="432"/>
      <c r="AH31" s="432"/>
      <c r="AI31" s="430"/>
      <c r="AJ31" s="431"/>
      <c r="AK31" s="436"/>
      <c r="AL31" s="437"/>
      <c r="AM31" s="438"/>
      <c r="AN31" s="437"/>
      <c r="AO31" s="438"/>
      <c r="AP31" s="437"/>
      <c r="AQ31" s="433"/>
      <c r="AR31" s="437"/>
      <c r="AS31" s="437"/>
      <c r="AT31" s="437"/>
      <c r="AU31" s="437"/>
      <c r="AV31" s="430"/>
      <c r="AW31" s="1108"/>
      <c r="AX31" s="437"/>
      <c r="AY31" s="437"/>
      <c r="AZ31" s="433"/>
      <c r="BA31" s="433"/>
      <c r="BB31" s="437"/>
      <c r="BC31" s="437"/>
      <c r="BD31" s="1107"/>
      <c r="BE31" s="1820"/>
      <c r="BF31" s="1987"/>
    </row>
    <row r="32" spans="1:58" ht="14.25" customHeight="1" x14ac:dyDescent="0.35">
      <c r="A32" s="440">
        <v>8</v>
      </c>
      <c r="B32" s="430"/>
      <c r="C32" s="199"/>
      <c r="D32" s="199"/>
      <c r="E32" s="431"/>
      <c r="F32" s="199"/>
      <c r="G32" s="199"/>
      <c r="H32" s="1108"/>
      <c r="I32" s="1108"/>
      <c r="J32" s="1108"/>
      <c r="K32" s="199"/>
      <c r="L32" s="478"/>
      <c r="M32" s="440">
        <v>8</v>
      </c>
      <c r="N32" s="1552"/>
      <c r="O32" s="199"/>
      <c r="P32" s="1895"/>
      <c r="Q32" s="1895"/>
      <c r="R32" s="1108"/>
      <c r="S32" s="1108"/>
      <c r="T32" s="199"/>
      <c r="U32" s="435"/>
      <c r="V32" s="434"/>
      <c r="W32" s="430"/>
      <c r="X32" s="199"/>
      <c r="Y32" s="432"/>
      <c r="Z32" s="432"/>
      <c r="AA32" s="430"/>
      <c r="AB32" s="431"/>
      <c r="AC32" s="436"/>
      <c r="AD32" s="437"/>
      <c r="AE32" s="440">
        <v>8</v>
      </c>
      <c r="AF32" s="199"/>
      <c r="AG32" s="432"/>
      <c r="AH32" s="432"/>
      <c r="AI32" s="430"/>
      <c r="AJ32" s="431"/>
      <c r="AK32" s="436"/>
      <c r="AL32" s="437"/>
      <c r="AM32" s="438"/>
      <c r="AN32" s="437"/>
      <c r="AO32" s="438"/>
      <c r="AP32" s="437"/>
      <c r="AQ32" s="433"/>
      <c r="AR32" s="437"/>
      <c r="AS32" s="437"/>
      <c r="AT32" s="437"/>
      <c r="AU32" s="437"/>
      <c r="AV32" s="430"/>
      <c r="AW32" s="1108"/>
      <c r="AX32" s="437"/>
      <c r="AY32" s="437"/>
      <c r="AZ32" s="433"/>
      <c r="BA32" s="433"/>
      <c r="BB32" s="437"/>
      <c r="BC32" s="437"/>
      <c r="BD32" s="1107"/>
      <c r="BE32" s="1820"/>
      <c r="BF32" s="1987"/>
    </row>
    <row r="33" spans="1:58" ht="14.25" customHeight="1" x14ac:dyDescent="0.35">
      <c r="A33" s="440">
        <v>9</v>
      </c>
      <c r="B33" s="430"/>
      <c r="C33" s="199"/>
      <c r="D33" s="199"/>
      <c r="E33" s="431"/>
      <c r="F33" s="199"/>
      <c r="G33" s="199"/>
      <c r="H33" s="1108"/>
      <c r="I33" s="1108"/>
      <c r="J33" s="1108"/>
      <c r="K33" s="199"/>
      <c r="L33" s="478"/>
      <c r="M33" s="440">
        <v>9</v>
      </c>
      <c r="N33" s="1552"/>
      <c r="O33" s="199"/>
      <c r="P33" s="1895"/>
      <c r="Q33" s="1895"/>
      <c r="R33" s="1108"/>
      <c r="S33" s="1108"/>
      <c r="T33" s="199"/>
      <c r="U33" s="435"/>
      <c r="V33" s="434"/>
      <c r="W33" s="430"/>
      <c r="X33" s="199"/>
      <c r="Y33" s="432"/>
      <c r="Z33" s="432"/>
      <c r="AA33" s="430"/>
      <c r="AB33" s="431"/>
      <c r="AC33" s="436"/>
      <c r="AD33" s="437"/>
      <c r="AE33" s="440">
        <v>9</v>
      </c>
      <c r="AF33" s="199"/>
      <c r="AG33" s="432"/>
      <c r="AH33" s="432"/>
      <c r="AI33" s="430"/>
      <c r="AJ33" s="431"/>
      <c r="AK33" s="436"/>
      <c r="AL33" s="437"/>
      <c r="AM33" s="438"/>
      <c r="AN33" s="437"/>
      <c r="AO33" s="438"/>
      <c r="AP33" s="437"/>
      <c r="AQ33" s="433"/>
      <c r="AR33" s="437"/>
      <c r="AS33" s="437"/>
      <c r="AT33" s="437"/>
      <c r="AU33" s="437"/>
      <c r="AV33" s="430"/>
      <c r="AW33" s="1108"/>
      <c r="AX33" s="437"/>
      <c r="AY33" s="437"/>
      <c r="AZ33" s="433"/>
      <c r="BA33" s="433"/>
      <c r="BB33" s="437"/>
      <c r="BC33" s="437"/>
      <c r="BD33" s="1107"/>
      <c r="BE33" s="1820"/>
      <c r="BF33" s="1987"/>
    </row>
    <row r="34" spans="1:58" ht="14.25" customHeight="1" x14ac:dyDescent="0.35">
      <c r="A34" s="440">
        <v>10</v>
      </c>
      <c r="B34" s="430"/>
      <c r="C34" s="199"/>
      <c r="D34" s="199"/>
      <c r="E34" s="431"/>
      <c r="F34" s="199"/>
      <c r="G34" s="199"/>
      <c r="H34" s="1108"/>
      <c r="I34" s="1108"/>
      <c r="J34" s="1108"/>
      <c r="K34" s="199"/>
      <c r="L34" s="478"/>
      <c r="M34" s="440">
        <v>10</v>
      </c>
      <c r="N34" s="1552"/>
      <c r="O34" s="199"/>
      <c r="P34" s="1895"/>
      <c r="Q34" s="1895"/>
      <c r="R34" s="1108"/>
      <c r="S34" s="1108"/>
      <c r="T34" s="199"/>
      <c r="U34" s="435"/>
      <c r="V34" s="434"/>
      <c r="W34" s="430"/>
      <c r="X34" s="199"/>
      <c r="Y34" s="432"/>
      <c r="Z34" s="432"/>
      <c r="AA34" s="430"/>
      <c r="AB34" s="431"/>
      <c r="AC34" s="436"/>
      <c r="AD34" s="437"/>
      <c r="AE34" s="440">
        <v>10</v>
      </c>
      <c r="AF34" s="199"/>
      <c r="AG34" s="432"/>
      <c r="AH34" s="432"/>
      <c r="AI34" s="430"/>
      <c r="AJ34" s="431"/>
      <c r="AK34" s="436"/>
      <c r="AL34" s="437"/>
      <c r="AM34" s="438"/>
      <c r="AN34" s="437"/>
      <c r="AO34" s="438"/>
      <c r="AP34" s="437"/>
      <c r="AQ34" s="433"/>
      <c r="AR34" s="437"/>
      <c r="AS34" s="437"/>
      <c r="AT34" s="437"/>
      <c r="AU34" s="437"/>
      <c r="AV34" s="430"/>
      <c r="AW34" s="1108"/>
      <c r="AX34" s="437"/>
      <c r="AY34" s="437"/>
      <c r="AZ34" s="433"/>
      <c r="BA34" s="433"/>
      <c r="BB34" s="437"/>
      <c r="BC34" s="437"/>
      <c r="BD34" s="1107"/>
      <c r="BE34" s="1821"/>
      <c r="BF34" s="1988"/>
    </row>
    <row r="35" spans="1:58" ht="14.25" customHeight="1" x14ac:dyDescent="0.35">
      <c r="A35" s="441">
        <v>11</v>
      </c>
      <c r="B35" s="430"/>
      <c r="C35" s="199"/>
      <c r="D35" s="199"/>
      <c r="E35" s="431"/>
      <c r="F35" s="199"/>
      <c r="G35" s="199"/>
      <c r="H35" s="1108"/>
      <c r="I35" s="1108"/>
      <c r="J35" s="1108"/>
      <c r="K35" s="199"/>
      <c r="L35" s="478"/>
      <c r="M35" s="441">
        <v>11</v>
      </c>
      <c r="N35" s="1552"/>
      <c r="O35" s="199"/>
      <c r="P35" s="1895"/>
      <c r="Q35" s="1895"/>
      <c r="R35" s="1108"/>
      <c r="S35" s="1108"/>
      <c r="T35" s="199"/>
      <c r="U35" s="435"/>
      <c r="V35" s="434"/>
      <c r="W35" s="430"/>
      <c r="X35" s="199"/>
      <c r="Y35" s="432"/>
      <c r="Z35" s="432"/>
      <c r="AA35" s="430"/>
      <c r="AB35" s="431"/>
      <c r="AC35" s="436"/>
      <c r="AD35" s="437"/>
      <c r="AE35" s="441">
        <v>11</v>
      </c>
      <c r="AF35" s="199"/>
      <c r="AG35" s="432"/>
      <c r="AH35" s="432"/>
      <c r="AI35" s="430"/>
      <c r="AJ35" s="431"/>
      <c r="AK35" s="436"/>
      <c r="AL35" s="437"/>
      <c r="AM35" s="438"/>
      <c r="AN35" s="437"/>
      <c r="AO35" s="438"/>
      <c r="AP35" s="437"/>
      <c r="AQ35" s="433"/>
      <c r="AR35" s="437"/>
      <c r="AS35" s="437"/>
      <c r="AT35" s="437"/>
      <c r="AU35" s="437"/>
      <c r="AV35" s="430"/>
      <c r="AW35" s="1108"/>
      <c r="AX35" s="437"/>
      <c r="AY35" s="437"/>
      <c r="AZ35" s="433"/>
      <c r="BA35" s="433"/>
      <c r="BB35" s="437"/>
      <c r="BC35" s="437"/>
      <c r="BD35" s="1107"/>
      <c r="BE35" s="1822"/>
      <c r="BF35" s="1989"/>
    </row>
    <row r="36" spans="1:58" ht="14.25" customHeight="1" x14ac:dyDescent="0.35">
      <c r="A36" s="441">
        <v>12</v>
      </c>
      <c r="B36" s="430"/>
      <c r="C36" s="199"/>
      <c r="D36" s="199"/>
      <c r="E36" s="431"/>
      <c r="F36" s="199"/>
      <c r="G36" s="199"/>
      <c r="H36" s="1108"/>
      <c r="I36" s="1108"/>
      <c r="J36" s="1108"/>
      <c r="K36" s="199"/>
      <c r="L36" s="478"/>
      <c r="M36" s="441">
        <v>12</v>
      </c>
      <c r="N36" s="1552"/>
      <c r="O36" s="199"/>
      <c r="P36" s="1895"/>
      <c r="Q36" s="1895"/>
      <c r="R36" s="1108"/>
      <c r="S36" s="1108"/>
      <c r="T36" s="199"/>
      <c r="U36" s="435"/>
      <c r="V36" s="434"/>
      <c r="W36" s="430"/>
      <c r="X36" s="199"/>
      <c r="Y36" s="432"/>
      <c r="Z36" s="432"/>
      <c r="AA36" s="430"/>
      <c r="AB36" s="431"/>
      <c r="AC36" s="436"/>
      <c r="AD36" s="437"/>
      <c r="AE36" s="441">
        <v>12</v>
      </c>
      <c r="AF36" s="199"/>
      <c r="AG36" s="432"/>
      <c r="AH36" s="432"/>
      <c r="AI36" s="430"/>
      <c r="AJ36" s="431"/>
      <c r="AK36" s="436"/>
      <c r="AL36" s="437"/>
      <c r="AM36" s="438"/>
      <c r="AN36" s="437"/>
      <c r="AO36" s="438"/>
      <c r="AP36" s="437"/>
      <c r="AQ36" s="433"/>
      <c r="AR36" s="437"/>
      <c r="AS36" s="437"/>
      <c r="AT36" s="437"/>
      <c r="AU36" s="437"/>
      <c r="AV36" s="430"/>
      <c r="AW36" s="1108"/>
      <c r="AX36" s="437"/>
      <c r="AY36" s="437"/>
      <c r="AZ36" s="433"/>
      <c r="BA36" s="433"/>
      <c r="BB36" s="437"/>
      <c r="BC36" s="437"/>
      <c r="BD36" s="1107"/>
      <c r="BE36" s="1820"/>
      <c r="BF36" s="1987"/>
    </row>
    <row r="37" spans="1:58" ht="14.25" customHeight="1" x14ac:dyDescent="0.35">
      <c r="A37" s="441">
        <v>13</v>
      </c>
      <c r="B37" s="430"/>
      <c r="C37" s="199"/>
      <c r="D37" s="199"/>
      <c r="E37" s="431"/>
      <c r="F37" s="199"/>
      <c r="G37" s="199"/>
      <c r="H37" s="1108"/>
      <c r="I37" s="1108"/>
      <c r="J37" s="1108"/>
      <c r="K37" s="199"/>
      <c r="L37" s="478"/>
      <c r="M37" s="441">
        <v>13</v>
      </c>
      <c r="N37" s="1552"/>
      <c r="O37" s="199"/>
      <c r="P37" s="1895"/>
      <c r="Q37" s="1895"/>
      <c r="R37" s="1108"/>
      <c r="S37" s="1108"/>
      <c r="T37" s="199"/>
      <c r="U37" s="435"/>
      <c r="V37" s="434"/>
      <c r="W37" s="430"/>
      <c r="X37" s="199"/>
      <c r="Y37" s="432"/>
      <c r="Z37" s="432"/>
      <c r="AA37" s="430"/>
      <c r="AB37" s="431"/>
      <c r="AC37" s="436"/>
      <c r="AD37" s="437"/>
      <c r="AE37" s="441">
        <v>13</v>
      </c>
      <c r="AF37" s="199"/>
      <c r="AG37" s="432"/>
      <c r="AH37" s="432"/>
      <c r="AI37" s="430"/>
      <c r="AJ37" s="431"/>
      <c r="AK37" s="436"/>
      <c r="AL37" s="437"/>
      <c r="AM37" s="438"/>
      <c r="AN37" s="437"/>
      <c r="AO37" s="438"/>
      <c r="AP37" s="437"/>
      <c r="AQ37" s="433"/>
      <c r="AR37" s="437"/>
      <c r="AS37" s="437"/>
      <c r="AT37" s="437"/>
      <c r="AU37" s="437"/>
      <c r="AV37" s="430"/>
      <c r="AW37" s="1108"/>
      <c r="AX37" s="437"/>
      <c r="AY37" s="437"/>
      <c r="AZ37" s="433"/>
      <c r="BA37" s="433"/>
      <c r="BB37" s="437"/>
      <c r="BC37" s="437"/>
      <c r="BD37" s="1107"/>
      <c r="BE37" s="1820"/>
      <c r="BF37" s="1987"/>
    </row>
    <row r="38" spans="1:58" ht="14.25" customHeight="1" x14ac:dyDescent="0.35">
      <c r="A38" s="441">
        <v>14</v>
      </c>
      <c r="B38" s="430"/>
      <c r="C38" s="199"/>
      <c r="D38" s="199"/>
      <c r="E38" s="431"/>
      <c r="F38" s="199"/>
      <c r="G38" s="199"/>
      <c r="H38" s="1108"/>
      <c r="I38" s="1108"/>
      <c r="J38" s="1108"/>
      <c r="K38" s="199"/>
      <c r="L38" s="478"/>
      <c r="M38" s="441">
        <v>14</v>
      </c>
      <c r="N38" s="1552"/>
      <c r="O38" s="199"/>
      <c r="P38" s="1895"/>
      <c r="Q38" s="1895"/>
      <c r="R38" s="1108"/>
      <c r="S38" s="1108"/>
      <c r="T38" s="199"/>
      <c r="U38" s="435"/>
      <c r="V38" s="434"/>
      <c r="W38" s="430"/>
      <c r="X38" s="199"/>
      <c r="Y38" s="432"/>
      <c r="Z38" s="432"/>
      <c r="AA38" s="430"/>
      <c r="AB38" s="431"/>
      <c r="AC38" s="436"/>
      <c r="AD38" s="437"/>
      <c r="AE38" s="441">
        <v>14</v>
      </c>
      <c r="AF38" s="199"/>
      <c r="AG38" s="432"/>
      <c r="AH38" s="432"/>
      <c r="AI38" s="430"/>
      <c r="AJ38" s="431"/>
      <c r="AK38" s="436"/>
      <c r="AL38" s="437"/>
      <c r="AM38" s="438"/>
      <c r="AN38" s="437"/>
      <c r="AO38" s="438"/>
      <c r="AP38" s="437"/>
      <c r="AQ38" s="433"/>
      <c r="AR38" s="437"/>
      <c r="AS38" s="437"/>
      <c r="AT38" s="437"/>
      <c r="AU38" s="437"/>
      <c r="AV38" s="430"/>
      <c r="AW38" s="1108"/>
      <c r="AX38" s="437"/>
      <c r="AY38" s="437"/>
      <c r="AZ38" s="433"/>
      <c r="BA38" s="433"/>
      <c r="BB38" s="437"/>
      <c r="BC38" s="437"/>
      <c r="BD38" s="1107"/>
      <c r="BE38" s="1820"/>
      <c r="BF38" s="1987"/>
    </row>
    <row r="39" spans="1:58" ht="14.25" customHeight="1" x14ac:dyDescent="0.35">
      <c r="A39" s="440">
        <v>15</v>
      </c>
      <c r="B39" s="430"/>
      <c r="C39" s="199"/>
      <c r="D39" s="199"/>
      <c r="E39" s="431"/>
      <c r="F39" s="199"/>
      <c r="G39" s="199"/>
      <c r="H39" s="1108"/>
      <c r="I39" s="1108"/>
      <c r="J39" s="1108"/>
      <c r="K39" s="199"/>
      <c r="L39" s="478"/>
      <c r="M39" s="440">
        <v>15</v>
      </c>
      <c r="N39" s="1552"/>
      <c r="O39" s="199"/>
      <c r="P39" s="1895"/>
      <c r="Q39" s="1895"/>
      <c r="R39" s="1108"/>
      <c r="S39" s="1108"/>
      <c r="T39" s="199"/>
      <c r="U39" s="435"/>
      <c r="V39" s="434"/>
      <c r="W39" s="430"/>
      <c r="X39" s="199"/>
      <c r="Y39" s="432"/>
      <c r="Z39" s="432"/>
      <c r="AA39" s="430"/>
      <c r="AB39" s="431"/>
      <c r="AC39" s="436"/>
      <c r="AD39" s="437"/>
      <c r="AE39" s="440">
        <v>15</v>
      </c>
      <c r="AF39" s="199"/>
      <c r="AG39" s="432"/>
      <c r="AH39" s="432"/>
      <c r="AI39" s="430"/>
      <c r="AJ39" s="431"/>
      <c r="AK39" s="436"/>
      <c r="AL39" s="437"/>
      <c r="AM39" s="438"/>
      <c r="AN39" s="437"/>
      <c r="AO39" s="438"/>
      <c r="AP39" s="437"/>
      <c r="AQ39" s="433"/>
      <c r="AR39" s="437"/>
      <c r="AS39" s="437"/>
      <c r="AT39" s="437"/>
      <c r="AU39" s="437"/>
      <c r="AV39" s="430"/>
      <c r="AW39" s="1108"/>
      <c r="AX39" s="437"/>
      <c r="AY39" s="437"/>
      <c r="AZ39" s="433"/>
      <c r="BA39" s="433"/>
      <c r="BB39" s="437"/>
      <c r="BC39" s="437"/>
      <c r="BD39" s="1107"/>
      <c r="BE39" s="1821"/>
      <c r="BF39" s="1990"/>
    </row>
    <row r="40" spans="1:58" x14ac:dyDescent="0.35">
      <c r="P40" s="180" t="s">
        <v>354</v>
      </c>
      <c r="Q40" s="180" t="s">
        <v>355</v>
      </c>
      <c r="Y40" s="444"/>
      <c r="Z40" s="444"/>
      <c r="AA40" s="444"/>
      <c r="AB40" s="147"/>
      <c r="AC40" s="147"/>
      <c r="AD40" s="147"/>
      <c r="AG40" s="444"/>
      <c r="AH40" s="444"/>
      <c r="AI40" s="444"/>
      <c r="AJ40" s="147"/>
      <c r="AK40" s="147"/>
      <c r="AL40" s="147"/>
      <c r="AM40" s="147"/>
      <c r="AN40" s="147"/>
      <c r="AO40" s="444"/>
      <c r="AP40" s="444"/>
      <c r="AQ40" s="444"/>
      <c r="AR40" s="444"/>
      <c r="AS40" s="444"/>
      <c r="AT40" s="444"/>
      <c r="AU40" s="444"/>
      <c r="AX40" s="444"/>
      <c r="AY40" s="444"/>
      <c r="AZ40" s="444"/>
      <c r="BA40" s="444"/>
      <c r="BB40" s="444"/>
      <c r="BC40" s="444"/>
    </row>
    <row r="41" spans="1:58" x14ac:dyDescent="0.35">
      <c r="Y41" s="444"/>
      <c r="Z41" s="444"/>
      <c r="AA41" s="444"/>
      <c r="AB41" s="147"/>
      <c r="AC41" s="147"/>
      <c r="AD41" s="147"/>
      <c r="AG41" s="444"/>
      <c r="AH41" s="444"/>
      <c r="AI41" s="444"/>
      <c r="AJ41" s="147"/>
      <c r="AK41" s="147"/>
      <c r="AL41" s="147"/>
      <c r="AM41" s="147"/>
      <c r="AN41" s="147"/>
      <c r="AO41" s="444"/>
      <c r="AP41" s="444"/>
      <c r="AQ41" s="444"/>
      <c r="AR41" s="444"/>
      <c r="AS41" s="444"/>
      <c r="AT41" s="444"/>
      <c r="AU41" s="444"/>
      <c r="AX41" s="444"/>
      <c r="AY41" s="444"/>
      <c r="AZ41" s="444"/>
      <c r="BA41" s="444"/>
      <c r="BB41" s="444"/>
      <c r="BC41" s="444"/>
    </row>
    <row r="42" spans="1:58" x14ac:dyDescent="0.35">
      <c r="Y42" s="444"/>
      <c r="Z42" s="444"/>
      <c r="AA42" s="444"/>
      <c r="AB42" s="147"/>
      <c r="AC42" s="147"/>
      <c r="AD42" s="147"/>
      <c r="AG42" s="444"/>
      <c r="AH42" s="444"/>
      <c r="AI42" s="444"/>
      <c r="AJ42" s="147"/>
      <c r="AK42" s="147"/>
      <c r="AL42" s="147"/>
      <c r="AM42" s="147"/>
      <c r="AN42" s="147"/>
      <c r="AO42" s="444"/>
      <c r="AP42" s="444"/>
      <c r="AQ42" s="444"/>
      <c r="AR42" s="444"/>
      <c r="AS42" s="444"/>
      <c r="AT42" s="444"/>
      <c r="AU42" s="444"/>
      <c r="AX42" s="444"/>
      <c r="AY42" s="444"/>
      <c r="AZ42" s="444"/>
      <c r="BA42" s="444"/>
      <c r="BB42" s="444"/>
      <c r="BC42" s="444"/>
    </row>
    <row r="43" spans="1:58" x14ac:dyDescent="0.35">
      <c r="Y43" s="444"/>
      <c r="Z43" s="444"/>
      <c r="AA43" s="444"/>
      <c r="AB43" s="147"/>
      <c r="AC43" s="147"/>
      <c r="AD43" s="147"/>
      <c r="AG43" s="444"/>
      <c r="AH43" s="444"/>
      <c r="AI43" s="444"/>
      <c r="AJ43" s="147"/>
      <c r="AK43" s="147"/>
      <c r="AL43" s="147"/>
      <c r="AM43" s="147"/>
      <c r="AN43" s="147"/>
      <c r="AO43" s="444"/>
      <c r="AP43" s="444"/>
      <c r="AQ43" s="444"/>
      <c r="AR43" s="444"/>
      <c r="AS43" s="444"/>
      <c r="AT43" s="444"/>
      <c r="AU43" s="444"/>
      <c r="AX43" s="444"/>
      <c r="AY43" s="444"/>
      <c r="AZ43" s="444"/>
      <c r="BA43" s="444"/>
      <c r="BB43" s="444"/>
      <c r="BC43" s="444"/>
    </row>
    <row r="44" spans="1:58" x14ac:dyDescent="0.35">
      <c r="Y44" s="444"/>
      <c r="Z44" s="444"/>
      <c r="AA44" s="444"/>
      <c r="AB44" s="147"/>
      <c r="AC44" s="147"/>
      <c r="AD44" s="147"/>
      <c r="AG44" s="444"/>
      <c r="AH44" s="444"/>
      <c r="AI44" s="444"/>
      <c r="AJ44" s="147"/>
      <c r="AK44" s="147"/>
      <c r="AL44" s="147"/>
      <c r="AM44" s="147"/>
      <c r="AN44" s="147"/>
      <c r="AO44" s="444"/>
      <c r="AP44" s="444"/>
      <c r="AQ44" s="444"/>
      <c r="AR44" s="444"/>
      <c r="AS44" s="444"/>
      <c r="AT44" s="444"/>
      <c r="AU44" s="444"/>
      <c r="AX44" s="444"/>
      <c r="AY44" s="444"/>
      <c r="AZ44" s="444"/>
      <c r="BA44" s="444"/>
      <c r="BB44" s="444"/>
      <c r="BC44" s="444"/>
    </row>
    <row r="45" spans="1:58" x14ac:dyDescent="0.35">
      <c r="Y45" s="444"/>
      <c r="Z45" s="444"/>
      <c r="AA45" s="444"/>
      <c r="AB45" s="147"/>
      <c r="AC45" s="147"/>
      <c r="AD45" s="147"/>
      <c r="AG45" s="444"/>
      <c r="AH45" s="444"/>
      <c r="AI45" s="444"/>
      <c r="AJ45" s="147"/>
      <c r="AK45" s="147"/>
      <c r="AL45" s="147"/>
      <c r="AM45" s="147"/>
      <c r="AN45" s="147"/>
      <c r="AO45" s="444"/>
      <c r="AP45" s="444"/>
      <c r="AQ45" s="444"/>
      <c r="AR45" s="444"/>
      <c r="AS45" s="444"/>
      <c r="AT45" s="444"/>
      <c r="AU45" s="444"/>
      <c r="AX45" s="444"/>
      <c r="AY45" s="444"/>
      <c r="AZ45" s="444"/>
      <c r="BA45" s="444"/>
      <c r="BB45" s="444"/>
      <c r="BC45" s="444"/>
    </row>
    <row r="46" spans="1:58" x14ac:dyDescent="0.35">
      <c r="Y46" s="444"/>
      <c r="Z46" s="444"/>
      <c r="AA46" s="444"/>
      <c r="AB46" s="147"/>
      <c r="AC46" s="147"/>
      <c r="AD46" s="147"/>
      <c r="AG46" s="444"/>
      <c r="AH46" s="444"/>
      <c r="AI46" s="444"/>
      <c r="AJ46" s="147"/>
      <c r="AK46" s="147"/>
      <c r="AL46" s="147"/>
      <c r="AM46" s="147"/>
      <c r="AN46" s="147"/>
      <c r="AO46" s="444"/>
      <c r="AP46" s="444"/>
      <c r="AQ46" s="444"/>
      <c r="AR46" s="444"/>
      <c r="AS46" s="444"/>
      <c r="AT46" s="444"/>
      <c r="AU46" s="444"/>
      <c r="AX46" s="444"/>
      <c r="AY46" s="444"/>
      <c r="AZ46" s="444"/>
      <c r="BA46" s="444"/>
      <c r="BB46" s="444"/>
      <c r="BC46" s="444"/>
    </row>
    <row r="47" spans="1:58" x14ac:dyDescent="0.35">
      <c r="Y47" s="444"/>
      <c r="Z47" s="444"/>
      <c r="AA47" s="444"/>
      <c r="AB47" s="147"/>
      <c r="AC47" s="147"/>
      <c r="AD47" s="147"/>
      <c r="AG47" s="444"/>
      <c r="AH47" s="444"/>
      <c r="AI47" s="444"/>
      <c r="AJ47" s="147"/>
      <c r="AK47" s="147"/>
      <c r="AL47" s="147"/>
      <c r="AM47" s="147"/>
      <c r="AN47" s="147"/>
      <c r="AO47" s="444"/>
      <c r="AP47" s="444"/>
      <c r="AQ47" s="444"/>
      <c r="AR47" s="444"/>
      <c r="AS47" s="444"/>
      <c r="AT47" s="444"/>
      <c r="AU47" s="444"/>
      <c r="AX47" s="444"/>
      <c r="AY47" s="444"/>
      <c r="AZ47" s="444"/>
      <c r="BA47" s="444"/>
      <c r="BB47" s="444"/>
      <c r="BC47" s="444"/>
    </row>
    <row r="48" spans="1:58" x14ac:dyDescent="0.35">
      <c r="Y48" s="444"/>
      <c r="Z48" s="444"/>
      <c r="AA48" s="444"/>
      <c r="AB48" s="147"/>
      <c r="AC48" s="147"/>
      <c r="AD48" s="147"/>
      <c r="AG48" s="444"/>
      <c r="AH48" s="444"/>
      <c r="AI48" s="444"/>
      <c r="AJ48" s="147"/>
      <c r="AK48" s="147"/>
      <c r="AL48" s="147"/>
      <c r="AM48" s="147"/>
      <c r="AN48" s="147"/>
      <c r="AO48" s="444"/>
      <c r="AP48" s="444"/>
      <c r="AQ48" s="444"/>
      <c r="AR48" s="444"/>
      <c r="AS48" s="444"/>
      <c r="AT48" s="444"/>
      <c r="AU48" s="444"/>
      <c r="AX48" s="444"/>
      <c r="AY48" s="444"/>
      <c r="AZ48" s="444"/>
      <c r="BA48" s="444"/>
      <c r="BB48" s="444"/>
      <c r="BC48" s="444"/>
    </row>
    <row r="49" spans="25:55" x14ac:dyDescent="0.35">
      <c r="Y49" s="444"/>
      <c r="Z49" s="444"/>
      <c r="AA49" s="444"/>
      <c r="AB49" s="147"/>
      <c r="AC49" s="147"/>
      <c r="AD49" s="147"/>
      <c r="AG49" s="444"/>
      <c r="AH49" s="444"/>
      <c r="AI49" s="444"/>
      <c r="AJ49" s="147"/>
      <c r="AK49" s="147"/>
      <c r="AL49" s="147"/>
      <c r="AM49" s="147"/>
      <c r="AN49" s="147"/>
      <c r="AO49" s="444"/>
      <c r="AP49" s="444"/>
      <c r="AQ49" s="444"/>
      <c r="AR49" s="444"/>
      <c r="AS49" s="444"/>
      <c r="AT49" s="444"/>
      <c r="AU49" s="444"/>
      <c r="AX49" s="444"/>
      <c r="AY49" s="444"/>
      <c r="AZ49" s="444"/>
      <c r="BA49" s="444"/>
      <c r="BB49" s="444"/>
      <c r="BC49" s="444"/>
    </row>
    <row r="50" spans="25:55" x14ac:dyDescent="0.35">
      <c r="Y50" s="444"/>
      <c r="Z50" s="444"/>
      <c r="AA50" s="444"/>
      <c r="AB50" s="147"/>
      <c r="AC50" s="147"/>
      <c r="AD50" s="147"/>
      <c r="AG50" s="444"/>
      <c r="AH50" s="444"/>
      <c r="AI50" s="444"/>
      <c r="AJ50" s="147"/>
      <c r="AK50" s="147"/>
      <c r="AL50" s="147"/>
      <c r="AM50" s="147"/>
      <c r="AN50" s="147"/>
      <c r="AO50" s="444"/>
      <c r="AP50" s="444"/>
      <c r="AQ50" s="444"/>
      <c r="AR50" s="444"/>
      <c r="AS50" s="444"/>
      <c r="AT50" s="444"/>
      <c r="AU50" s="444"/>
      <c r="AX50" s="444"/>
      <c r="AY50" s="444"/>
      <c r="AZ50" s="444"/>
      <c r="BA50" s="444"/>
      <c r="BB50" s="444"/>
      <c r="BC50" s="444"/>
    </row>
    <row r="51" spans="25:55" x14ac:dyDescent="0.35">
      <c r="Y51" s="444"/>
      <c r="Z51" s="444"/>
      <c r="AA51" s="444"/>
      <c r="AB51" s="147"/>
      <c r="AC51" s="147"/>
      <c r="AD51" s="147"/>
      <c r="AG51" s="444"/>
      <c r="AH51" s="444"/>
      <c r="AI51" s="444"/>
      <c r="AJ51" s="147"/>
      <c r="AK51" s="147"/>
      <c r="AL51" s="147"/>
      <c r="AM51" s="147"/>
      <c r="AN51" s="147"/>
      <c r="AO51" s="444"/>
      <c r="AP51" s="444"/>
      <c r="AQ51" s="444"/>
      <c r="AR51" s="444"/>
      <c r="AS51" s="444"/>
      <c r="AT51" s="444"/>
      <c r="AU51" s="444"/>
      <c r="AX51" s="444"/>
      <c r="AY51" s="444"/>
      <c r="AZ51" s="444"/>
      <c r="BA51" s="444"/>
      <c r="BB51" s="444"/>
      <c r="BC51" s="444"/>
    </row>
    <row r="52" spans="25:55" x14ac:dyDescent="0.35">
      <c r="Y52" s="444"/>
      <c r="Z52" s="444"/>
      <c r="AA52" s="444"/>
      <c r="AB52" s="147"/>
      <c r="AC52" s="147"/>
      <c r="AD52" s="147"/>
      <c r="AG52" s="444"/>
      <c r="AH52" s="444"/>
      <c r="AI52" s="444"/>
      <c r="AJ52" s="147"/>
      <c r="AK52" s="147"/>
      <c r="AL52" s="147"/>
      <c r="AM52" s="147"/>
      <c r="AN52" s="147"/>
      <c r="AO52" s="444"/>
      <c r="AP52" s="444"/>
      <c r="AQ52" s="444"/>
      <c r="AR52" s="444"/>
      <c r="AS52" s="444"/>
      <c r="AT52" s="444"/>
      <c r="AU52" s="444"/>
      <c r="AX52" s="444"/>
      <c r="AY52" s="444"/>
      <c r="AZ52" s="444"/>
      <c r="BA52" s="444"/>
      <c r="BB52" s="444"/>
      <c r="BC52" s="444"/>
    </row>
    <row r="53" spans="25:55" x14ac:dyDescent="0.35">
      <c r="Y53" s="444"/>
      <c r="Z53" s="444"/>
      <c r="AA53" s="444"/>
      <c r="AB53" s="147"/>
      <c r="AC53" s="147"/>
      <c r="AD53" s="147"/>
      <c r="AG53" s="444"/>
      <c r="AH53" s="444"/>
      <c r="AI53" s="444"/>
      <c r="AJ53" s="147"/>
      <c r="AK53" s="147"/>
      <c r="AL53" s="147"/>
      <c r="AM53" s="147"/>
      <c r="AN53" s="147"/>
      <c r="AO53" s="444"/>
      <c r="AP53" s="444"/>
      <c r="AQ53" s="444"/>
      <c r="AR53" s="444"/>
      <c r="AS53" s="444"/>
      <c r="AT53" s="444"/>
      <c r="AU53" s="444"/>
      <c r="AX53" s="444"/>
      <c r="AY53" s="444"/>
      <c r="AZ53" s="444"/>
      <c r="BA53" s="444"/>
      <c r="BB53" s="444"/>
      <c r="BC53" s="444"/>
    </row>
    <row r="54" spans="25:55" x14ac:dyDescent="0.35">
      <c r="Y54" s="444"/>
      <c r="Z54" s="444"/>
      <c r="AA54" s="444"/>
      <c r="AB54" s="147"/>
      <c r="AC54" s="147"/>
      <c r="AD54" s="147"/>
      <c r="AG54" s="444"/>
      <c r="AH54" s="444"/>
      <c r="AI54" s="444"/>
      <c r="AJ54" s="147"/>
      <c r="AK54" s="147"/>
      <c r="AL54" s="147"/>
      <c r="AM54" s="147"/>
      <c r="AN54" s="147"/>
      <c r="AO54" s="444"/>
      <c r="AP54" s="444"/>
      <c r="AQ54" s="444"/>
      <c r="AR54" s="444"/>
      <c r="AS54" s="444"/>
      <c r="AT54" s="444"/>
      <c r="AU54" s="444"/>
      <c r="AX54" s="444"/>
      <c r="AY54" s="444"/>
      <c r="AZ54" s="444"/>
      <c r="BA54" s="444"/>
      <c r="BB54" s="444"/>
      <c r="BC54" s="444"/>
    </row>
    <row r="55" spans="25:55" x14ac:dyDescent="0.35">
      <c r="Y55" s="444"/>
      <c r="Z55" s="444"/>
      <c r="AA55" s="444"/>
      <c r="AB55" s="147"/>
      <c r="AC55" s="147"/>
      <c r="AD55" s="147"/>
      <c r="AG55" s="444"/>
      <c r="AH55" s="444"/>
      <c r="AI55" s="444"/>
      <c r="AJ55" s="147"/>
      <c r="AK55" s="147"/>
      <c r="AL55" s="147"/>
      <c r="AM55" s="147"/>
      <c r="AN55" s="147"/>
      <c r="AO55" s="444"/>
      <c r="AP55" s="444"/>
      <c r="AQ55" s="444"/>
      <c r="AR55" s="444"/>
      <c r="AS55" s="444"/>
      <c r="AT55" s="444"/>
      <c r="AU55" s="444"/>
      <c r="AX55" s="444"/>
      <c r="AY55" s="444"/>
      <c r="AZ55" s="444"/>
      <c r="BA55" s="444"/>
      <c r="BB55" s="444"/>
      <c r="BC55" s="444"/>
    </row>
    <row r="56" spans="25:55" x14ac:dyDescent="0.35">
      <c r="Y56" s="444"/>
      <c r="Z56" s="444"/>
      <c r="AA56" s="444"/>
      <c r="AB56" s="147"/>
      <c r="AC56" s="147"/>
      <c r="AD56" s="147"/>
      <c r="AG56" s="444"/>
      <c r="AH56" s="444"/>
      <c r="AI56" s="444"/>
      <c r="AJ56" s="147"/>
      <c r="AK56" s="147"/>
      <c r="AL56" s="147"/>
      <c r="AM56" s="147"/>
      <c r="AN56" s="147"/>
      <c r="AO56" s="444"/>
      <c r="AP56" s="444"/>
      <c r="AQ56" s="444"/>
      <c r="AR56" s="444"/>
      <c r="AS56" s="444"/>
      <c r="AT56" s="444"/>
      <c r="AU56" s="444"/>
      <c r="AX56" s="444"/>
      <c r="AY56" s="444"/>
      <c r="AZ56" s="444"/>
      <c r="BA56" s="444"/>
      <c r="BB56" s="444"/>
      <c r="BC56" s="444"/>
    </row>
    <row r="57" spans="25:55" x14ac:dyDescent="0.35">
      <c r="Y57" s="444"/>
      <c r="Z57" s="444"/>
      <c r="AA57" s="444"/>
      <c r="AB57" s="147"/>
      <c r="AC57" s="147"/>
      <c r="AD57" s="147"/>
      <c r="AG57" s="444"/>
      <c r="AH57" s="444"/>
      <c r="AI57" s="444"/>
      <c r="AJ57" s="147"/>
      <c r="AK57" s="147"/>
      <c r="AL57" s="147"/>
      <c r="AM57" s="147"/>
      <c r="AN57" s="147"/>
      <c r="AO57" s="444"/>
      <c r="AP57" s="444"/>
      <c r="AQ57" s="444"/>
      <c r="AR57" s="444"/>
      <c r="AS57" s="444"/>
      <c r="AT57" s="444"/>
      <c r="AU57" s="444"/>
      <c r="AX57" s="444"/>
      <c r="AY57" s="444"/>
      <c r="AZ57" s="444"/>
      <c r="BA57" s="444"/>
      <c r="BB57" s="444"/>
      <c r="BC57" s="444"/>
    </row>
    <row r="58" spans="25:55" x14ac:dyDescent="0.35">
      <c r="Y58" s="444"/>
      <c r="Z58" s="444"/>
      <c r="AA58" s="444"/>
      <c r="AB58" s="147"/>
      <c r="AC58" s="147"/>
      <c r="AD58" s="147"/>
      <c r="AG58" s="444"/>
      <c r="AH58" s="444"/>
      <c r="AI58" s="444"/>
      <c r="AJ58" s="147"/>
      <c r="AK58" s="147"/>
      <c r="AL58" s="147"/>
      <c r="AM58" s="147"/>
      <c r="AN58" s="147"/>
      <c r="AO58" s="444"/>
      <c r="AP58" s="444"/>
      <c r="AQ58" s="444"/>
      <c r="AR58" s="444"/>
      <c r="AS58" s="444"/>
      <c r="AT58" s="444"/>
      <c r="AU58" s="444"/>
      <c r="AX58" s="444"/>
      <c r="AY58" s="444"/>
      <c r="AZ58" s="444"/>
      <c r="BA58" s="444"/>
      <c r="BB58" s="444"/>
      <c r="BC58" s="444"/>
    </row>
    <row r="59" spans="25:55" x14ac:dyDescent="0.35">
      <c r="Y59" s="444"/>
      <c r="Z59" s="444"/>
      <c r="AA59" s="444"/>
      <c r="AB59" s="147"/>
      <c r="AC59" s="147"/>
      <c r="AD59" s="147"/>
      <c r="AG59" s="444"/>
      <c r="AH59" s="444"/>
      <c r="AI59" s="444"/>
      <c r="AJ59" s="147"/>
      <c r="AK59" s="147"/>
      <c r="AL59" s="147"/>
      <c r="AM59" s="147"/>
      <c r="AN59" s="147"/>
      <c r="AO59" s="444"/>
      <c r="AP59" s="444"/>
      <c r="AQ59" s="444"/>
      <c r="AR59" s="444"/>
      <c r="AS59" s="444"/>
      <c r="AT59" s="444"/>
      <c r="AU59" s="444"/>
      <c r="AX59" s="444"/>
      <c r="AY59" s="444"/>
      <c r="AZ59" s="444"/>
      <c r="BA59" s="444"/>
      <c r="BB59" s="444"/>
      <c r="BC59" s="444"/>
    </row>
    <row r="60" spans="25:55" x14ac:dyDescent="0.35">
      <c r="Y60" s="444"/>
      <c r="Z60" s="444"/>
      <c r="AA60" s="444"/>
      <c r="AB60" s="147"/>
      <c r="AC60" s="147"/>
      <c r="AD60" s="147"/>
      <c r="AG60" s="444"/>
      <c r="AH60" s="444"/>
      <c r="AI60" s="444"/>
      <c r="AJ60" s="147"/>
      <c r="AK60" s="147"/>
      <c r="AL60" s="147"/>
      <c r="AM60" s="147"/>
      <c r="AN60" s="147"/>
      <c r="AO60" s="444"/>
      <c r="AP60" s="444"/>
      <c r="AQ60" s="444"/>
      <c r="AR60" s="444"/>
      <c r="AS60" s="444"/>
      <c r="AT60" s="444"/>
      <c r="AU60" s="444"/>
      <c r="AX60" s="444"/>
      <c r="AY60" s="444"/>
      <c r="AZ60" s="444"/>
      <c r="BA60" s="444"/>
      <c r="BB60" s="444"/>
      <c r="BC60" s="444"/>
    </row>
    <row r="61" spans="25:55" x14ac:dyDescent="0.35">
      <c r="Y61" s="444"/>
      <c r="Z61" s="444"/>
      <c r="AA61" s="444"/>
      <c r="AB61" s="147"/>
      <c r="AC61" s="147"/>
      <c r="AD61" s="147"/>
      <c r="AG61" s="444"/>
      <c r="AH61" s="444"/>
      <c r="AI61" s="444"/>
      <c r="AJ61" s="147"/>
      <c r="AK61" s="147"/>
      <c r="AL61" s="147"/>
      <c r="AM61" s="147"/>
      <c r="AN61" s="147"/>
      <c r="AO61" s="444"/>
      <c r="AP61" s="444"/>
      <c r="AQ61" s="444"/>
      <c r="AR61" s="444"/>
      <c r="AS61" s="444"/>
      <c r="AT61" s="444"/>
      <c r="AU61" s="444"/>
      <c r="AX61" s="444"/>
      <c r="AY61" s="444"/>
      <c r="AZ61" s="444"/>
      <c r="BA61" s="444"/>
      <c r="BB61" s="444"/>
      <c r="BC61" s="444"/>
    </row>
    <row r="62" spans="25:55" x14ac:dyDescent="0.35">
      <c r="Y62" s="444"/>
      <c r="Z62" s="444"/>
      <c r="AA62" s="444"/>
      <c r="AB62" s="147"/>
      <c r="AC62" s="147"/>
      <c r="AD62" s="147"/>
      <c r="AG62" s="444"/>
      <c r="AH62" s="444"/>
      <c r="AI62" s="444"/>
      <c r="AJ62" s="147"/>
      <c r="AK62" s="147"/>
      <c r="AL62" s="147"/>
      <c r="AM62" s="147"/>
      <c r="AN62" s="147"/>
      <c r="AO62" s="444"/>
      <c r="AP62" s="444"/>
      <c r="AQ62" s="444"/>
      <c r="AR62" s="444"/>
      <c r="AS62" s="444"/>
      <c r="AT62" s="444"/>
      <c r="AU62" s="444"/>
      <c r="AX62" s="444"/>
      <c r="AY62" s="444"/>
      <c r="AZ62" s="444"/>
      <c r="BA62" s="444"/>
      <c r="BB62" s="444"/>
      <c r="BC62" s="444"/>
    </row>
    <row r="63" spans="25:55" x14ac:dyDescent="0.35">
      <c r="Y63" s="444"/>
      <c r="Z63" s="444"/>
      <c r="AA63" s="444"/>
      <c r="AB63" s="147"/>
      <c r="AC63" s="147"/>
      <c r="AD63" s="147"/>
      <c r="AG63" s="444"/>
      <c r="AH63" s="444"/>
      <c r="AI63" s="444"/>
      <c r="AJ63" s="147"/>
      <c r="AK63" s="147"/>
      <c r="AL63" s="147"/>
      <c r="AM63" s="147"/>
      <c r="AN63" s="147"/>
      <c r="AO63" s="444"/>
      <c r="AP63" s="444"/>
      <c r="AQ63" s="444"/>
      <c r="AR63" s="444"/>
      <c r="AS63" s="444"/>
      <c r="AT63" s="444"/>
      <c r="AU63" s="444"/>
      <c r="AX63" s="444"/>
      <c r="AY63" s="444"/>
      <c r="AZ63" s="444"/>
      <c r="BA63" s="444"/>
      <c r="BB63" s="444"/>
      <c r="BC63" s="444"/>
    </row>
    <row r="64" spans="25:55" x14ac:dyDescent="0.35">
      <c r="Y64" s="444"/>
      <c r="Z64" s="444"/>
      <c r="AA64" s="444"/>
      <c r="AB64" s="147"/>
      <c r="AC64" s="147"/>
      <c r="AD64" s="147"/>
      <c r="AG64" s="444"/>
      <c r="AH64" s="444"/>
      <c r="AI64" s="444"/>
      <c r="AJ64" s="147"/>
      <c r="AK64" s="147"/>
      <c r="AL64" s="147"/>
      <c r="AM64" s="147"/>
      <c r="AN64" s="147"/>
      <c r="AO64" s="444"/>
      <c r="AP64" s="444"/>
      <c r="AQ64" s="444"/>
      <c r="AR64" s="444"/>
      <c r="AS64" s="444"/>
      <c r="AT64" s="444"/>
      <c r="AU64" s="444"/>
      <c r="AX64" s="444"/>
      <c r="AY64" s="444"/>
      <c r="AZ64" s="444"/>
      <c r="BA64" s="444"/>
      <c r="BB64" s="444"/>
      <c r="BC64" s="444"/>
    </row>
    <row r="65" spans="25:55" x14ac:dyDescent="0.35">
      <c r="Y65" s="444"/>
      <c r="Z65" s="444"/>
      <c r="AA65" s="444"/>
      <c r="AB65" s="147"/>
      <c r="AC65" s="147"/>
      <c r="AD65" s="147"/>
      <c r="AG65" s="444"/>
      <c r="AH65" s="444"/>
      <c r="AI65" s="444"/>
      <c r="AJ65" s="147"/>
      <c r="AK65" s="147"/>
      <c r="AL65" s="147"/>
      <c r="AM65" s="147"/>
      <c r="AN65" s="147"/>
      <c r="AO65" s="444"/>
      <c r="AP65" s="444"/>
      <c r="AQ65" s="444"/>
      <c r="AR65" s="444"/>
      <c r="AS65" s="444"/>
      <c r="AT65" s="444"/>
      <c r="AU65" s="444"/>
      <c r="AX65" s="444"/>
      <c r="AY65" s="444"/>
      <c r="AZ65" s="444"/>
      <c r="BA65" s="444"/>
      <c r="BB65" s="444"/>
      <c r="BC65" s="444"/>
    </row>
    <row r="66" spans="25:55" x14ac:dyDescent="0.35">
      <c r="Y66" s="444"/>
      <c r="Z66" s="444"/>
      <c r="AA66" s="444"/>
      <c r="AB66" s="147"/>
      <c r="AC66" s="147"/>
      <c r="AD66" s="147"/>
      <c r="AG66" s="444"/>
      <c r="AH66" s="444"/>
      <c r="AI66" s="444"/>
      <c r="AJ66" s="147"/>
      <c r="AK66" s="147"/>
      <c r="AL66" s="147"/>
      <c r="AM66" s="147"/>
      <c r="AN66" s="147"/>
      <c r="AO66" s="444"/>
      <c r="AP66" s="444"/>
      <c r="AQ66" s="444"/>
      <c r="AR66" s="444"/>
      <c r="AS66" s="444"/>
      <c r="AT66" s="444"/>
      <c r="AU66" s="444"/>
      <c r="AX66" s="444"/>
      <c r="AY66" s="444"/>
      <c r="AZ66" s="444"/>
      <c r="BA66" s="444"/>
      <c r="BB66" s="444"/>
      <c r="BC66" s="444"/>
    </row>
    <row r="67" spans="25:55" x14ac:dyDescent="0.35">
      <c r="Y67" s="444"/>
      <c r="Z67" s="444"/>
      <c r="AA67" s="444"/>
      <c r="AB67" s="147"/>
      <c r="AC67" s="147"/>
      <c r="AD67" s="147"/>
      <c r="AG67" s="444"/>
      <c r="AH67" s="444"/>
      <c r="AI67" s="444"/>
      <c r="AJ67" s="147"/>
      <c r="AK67" s="147"/>
      <c r="AL67" s="147"/>
      <c r="AM67" s="147"/>
      <c r="AN67" s="147"/>
      <c r="AO67" s="444"/>
      <c r="AP67" s="444"/>
      <c r="AQ67" s="444"/>
      <c r="AR67" s="444"/>
      <c r="AS67" s="444"/>
      <c r="AT67" s="444"/>
      <c r="AU67" s="444"/>
      <c r="AX67" s="444"/>
      <c r="AY67" s="444"/>
      <c r="AZ67" s="444"/>
      <c r="BA67" s="444"/>
      <c r="BB67" s="444"/>
      <c r="BC67" s="444"/>
    </row>
    <row r="68" spans="25:55" x14ac:dyDescent="0.35">
      <c r="Y68" s="444"/>
      <c r="Z68" s="444"/>
      <c r="AA68" s="444"/>
      <c r="AB68" s="147"/>
      <c r="AC68" s="147"/>
      <c r="AD68" s="147"/>
      <c r="AG68" s="444"/>
      <c r="AH68" s="444"/>
      <c r="AI68" s="444"/>
      <c r="AJ68" s="147"/>
      <c r="AK68" s="147"/>
      <c r="AL68" s="147"/>
      <c r="AM68" s="147"/>
      <c r="AN68" s="147"/>
      <c r="AO68" s="444"/>
      <c r="AP68" s="444"/>
      <c r="AQ68" s="444"/>
      <c r="AR68" s="444"/>
      <c r="AS68" s="444"/>
      <c r="AT68" s="444"/>
      <c r="AU68" s="444"/>
      <c r="AX68" s="444"/>
      <c r="AY68" s="444"/>
      <c r="AZ68" s="444"/>
      <c r="BA68" s="444"/>
      <c r="BB68" s="444"/>
      <c r="BC68" s="444"/>
    </row>
    <row r="69" spans="25:55" x14ac:dyDescent="0.35">
      <c r="Y69" s="444"/>
      <c r="Z69" s="444"/>
      <c r="AA69" s="444"/>
      <c r="AB69" s="147"/>
      <c r="AC69" s="147"/>
      <c r="AD69" s="147"/>
      <c r="AG69" s="444"/>
      <c r="AH69" s="444"/>
      <c r="AI69" s="444"/>
      <c r="AJ69" s="147"/>
      <c r="AK69" s="147"/>
      <c r="AL69" s="147"/>
      <c r="AM69" s="147"/>
      <c r="AN69" s="147"/>
      <c r="AO69" s="444"/>
      <c r="AP69" s="444"/>
      <c r="AQ69" s="444"/>
      <c r="AR69" s="444"/>
      <c r="AS69" s="444"/>
      <c r="AT69" s="444"/>
      <c r="AU69" s="444"/>
      <c r="AX69" s="444"/>
      <c r="AY69" s="444"/>
      <c r="AZ69" s="444"/>
      <c r="BA69" s="444"/>
      <c r="BB69" s="444"/>
      <c r="BC69" s="444"/>
    </row>
    <row r="70" spans="25:55" x14ac:dyDescent="0.35">
      <c r="Y70" s="444"/>
      <c r="Z70" s="444"/>
      <c r="AA70" s="444"/>
      <c r="AB70" s="147"/>
      <c r="AC70" s="147"/>
      <c r="AD70" s="147"/>
      <c r="AG70" s="444"/>
      <c r="AH70" s="444"/>
      <c r="AI70" s="444"/>
      <c r="AJ70" s="147"/>
      <c r="AK70" s="147"/>
      <c r="AL70" s="147"/>
      <c r="AM70" s="147"/>
      <c r="AN70" s="147"/>
      <c r="AO70" s="444"/>
      <c r="AP70" s="444"/>
      <c r="AQ70" s="444"/>
      <c r="AR70" s="444"/>
      <c r="AS70" s="444"/>
      <c r="AT70" s="444"/>
      <c r="AU70" s="444"/>
      <c r="AX70" s="444"/>
      <c r="AY70" s="444"/>
      <c r="AZ70" s="444"/>
      <c r="BA70" s="444"/>
      <c r="BB70" s="444"/>
      <c r="BC70" s="444"/>
    </row>
    <row r="71" spans="25:55" x14ac:dyDescent="0.35">
      <c r="Y71" s="444"/>
      <c r="Z71" s="444"/>
      <c r="AA71" s="444"/>
      <c r="AB71" s="147"/>
      <c r="AC71" s="147"/>
      <c r="AD71" s="147"/>
      <c r="AG71" s="444"/>
      <c r="AH71" s="444"/>
      <c r="AI71" s="444"/>
      <c r="AJ71" s="147"/>
      <c r="AK71" s="147"/>
      <c r="AL71" s="147"/>
      <c r="AM71" s="147"/>
      <c r="AN71" s="147"/>
      <c r="AO71" s="444"/>
      <c r="AP71" s="444"/>
      <c r="AQ71" s="444"/>
      <c r="AR71" s="444"/>
      <c r="AS71" s="444"/>
      <c r="AT71" s="444"/>
      <c r="AU71" s="444"/>
      <c r="AX71" s="444"/>
      <c r="AY71" s="444"/>
      <c r="AZ71" s="444"/>
      <c r="BA71" s="444"/>
      <c r="BB71" s="444"/>
      <c r="BC71" s="444"/>
    </row>
    <row r="72" spans="25:55" x14ac:dyDescent="0.35">
      <c r="Y72" s="444"/>
      <c r="Z72" s="444"/>
      <c r="AA72" s="444"/>
      <c r="AB72" s="147"/>
      <c r="AC72" s="147"/>
      <c r="AD72" s="147"/>
      <c r="AG72" s="444"/>
      <c r="AH72" s="444"/>
      <c r="AI72" s="444"/>
      <c r="AJ72" s="147"/>
      <c r="AK72" s="147"/>
      <c r="AL72" s="147"/>
      <c r="AM72" s="147"/>
      <c r="AN72" s="147"/>
      <c r="AO72" s="444"/>
      <c r="AP72" s="444"/>
      <c r="AQ72" s="444"/>
      <c r="AR72" s="444"/>
      <c r="AS72" s="444"/>
      <c r="AT72" s="444"/>
      <c r="AU72" s="444"/>
      <c r="AX72" s="444"/>
      <c r="AY72" s="444"/>
      <c r="AZ72" s="444"/>
      <c r="BA72" s="444"/>
      <c r="BB72" s="444"/>
      <c r="BC72" s="444"/>
    </row>
    <row r="73" spans="25:55" x14ac:dyDescent="0.35">
      <c r="Y73" s="444"/>
      <c r="Z73" s="444"/>
      <c r="AA73" s="444"/>
      <c r="AB73" s="147"/>
      <c r="AC73" s="147"/>
      <c r="AD73" s="147"/>
      <c r="AG73" s="444"/>
      <c r="AH73" s="444"/>
      <c r="AI73" s="444"/>
      <c r="AJ73" s="147"/>
      <c r="AK73" s="147"/>
      <c r="AL73" s="147"/>
      <c r="AM73" s="147"/>
      <c r="AN73" s="147"/>
      <c r="AO73" s="444"/>
      <c r="AP73" s="444"/>
      <c r="AQ73" s="444"/>
      <c r="AR73" s="444"/>
      <c r="AS73" s="444"/>
      <c r="AT73" s="444"/>
      <c r="AU73" s="444"/>
      <c r="AX73" s="444"/>
      <c r="AY73" s="444"/>
      <c r="AZ73" s="444"/>
      <c r="BA73" s="444"/>
      <c r="BB73" s="444"/>
      <c r="BC73" s="444"/>
    </row>
    <row r="74" spans="25:55" x14ac:dyDescent="0.35">
      <c r="Y74" s="444"/>
      <c r="Z74" s="444"/>
      <c r="AA74" s="444"/>
      <c r="AB74" s="147"/>
      <c r="AC74" s="147"/>
      <c r="AD74" s="147"/>
      <c r="AG74" s="444"/>
      <c r="AH74" s="444"/>
      <c r="AI74" s="444"/>
      <c r="AJ74" s="147"/>
      <c r="AK74" s="147"/>
      <c r="AL74" s="147"/>
      <c r="AM74" s="147"/>
      <c r="AN74" s="147"/>
      <c r="AO74" s="444"/>
      <c r="AP74" s="444"/>
      <c r="AQ74" s="444"/>
      <c r="AR74" s="444"/>
      <c r="AS74" s="444"/>
      <c r="AT74" s="444"/>
      <c r="AU74" s="444"/>
      <c r="AX74" s="444"/>
      <c r="AY74" s="444"/>
      <c r="AZ74" s="444"/>
      <c r="BA74" s="444"/>
      <c r="BB74" s="444"/>
      <c r="BC74" s="444"/>
    </row>
    <row r="75" spans="25:55" x14ac:dyDescent="0.35">
      <c r="Y75" s="444"/>
      <c r="Z75" s="444"/>
      <c r="AA75" s="444"/>
      <c r="AB75" s="147"/>
      <c r="AC75" s="147"/>
      <c r="AD75" s="147"/>
      <c r="AG75" s="444"/>
      <c r="AH75" s="444"/>
      <c r="AI75" s="444"/>
      <c r="AJ75" s="147"/>
      <c r="AK75" s="147"/>
      <c r="AL75" s="147"/>
      <c r="AM75" s="147"/>
      <c r="AN75" s="147"/>
      <c r="AO75" s="444"/>
      <c r="AP75" s="444"/>
      <c r="AQ75" s="444"/>
      <c r="AR75" s="444"/>
      <c r="AS75" s="444"/>
      <c r="AT75" s="444"/>
      <c r="AU75" s="444"/>
      <c r="AX75" s="444"/>
      <c r="AY75" s="444"/>
      <c r="AZ75" s="444"/>
      <c r="BA75" s="444"/>
      <c r="BB75" s="444"/>
      <c r="BC75" s="444"/>
    </row>
    <row r="76" spans="25:55" x14ac:dyDescent="0.35">
      <c r="Y76" s="444"/>
      <c r="Z76" s="444"/>
      <c r="AA76" s="444"/>
      <c r="AB76" s="147"/>
      <c r="AC76" s="147"/>
      <c r="AD76" s="147"/>
      <c r="AG76" s="444"/>
      <c r="AH76" s="444"/>
      <c r="AI76" s="444"/>
      <c r="AJ76" s="147"/>
      <c r="AK76" s="147"/>
      <c r="AL76" s="147"/>
      <c r="AM76" s="147"/>
      <c r="AN76" s="147"/>
      <c r="AO76" s="444"/>
      <c r="AP76" s="444"/>
      <c r="AQ76" s="444"/>
      <c r="AR76" s="444"/>
      <c r="AS76" s="444"/>
      <c r="AT76" s="444"/>
      <c r="AU76" s="444"/>
      <c r="AX76" s="444"/>
      <c r="AY76" s="444"/>
      <c r="AZ76" s="444"/>
      <c r="BA76" s="444"/>
      <c r="BB76" s="444"/>
      <c r="BC76" s="444"/>
    </row>
    <row r="77" spans="25:55" x14ac:dyDescent="0.35">
      <c r="Y77" s="444"/>
      <c r="Z77" s="444"/>
      <c r="AA77" s="444"/>
      <c r="AB77" s="147"/>
      <c r="AC77" s="147"/>
      <c r="AD77" s="147"/>
      <c r="AG77" s="444"/>
      <c r="AH77" s="444"/>
      <c r="AI77" s="444"/>
      <c r="AJ77" s="147"/>
      <c r="AK77" s="147"/>
      <c r="AL77" s="147"/>
      <c r="AM77" s="147"/>
      <c r="AN77" s="147"/>
      <c r="AO77" s="444"/>
      <c r="AP77" s="444"/>
      <c r="AQ77" s="444"/>
      <c r="AR77" s="444"/>
      <c r="AS77" s="444"/>
      <c r="AT77" s="444"/>
      <c r="AU77" s="444"/>
      <c r="AX77" s="444"/>
      <c r="AY77" s="444"/>
      <c r="AZ77" s="444"/>
      <c r="BA77" s="444"/>
      <c r="BB77" s="444"/>
      <c r="BC77" s="444"/>
    </row>
    <row r="78" spans="25:55" x14ac:dyDescent="0.35">
      <c r="Y78" s="444"/>
      <c r="Z78" s="444"/>
      <c r="AA78" s="444"/>
      <c r="AB78" s="147"/>
      <c r="AC78" s="147"/>
      <c r="AD78" s="147"/>
      <c r="AG78" s="444"/>
      <c r="AH78" s="444"/>
      <c r="AI78" s="444"/>
      <c r="AJ78" s="147"/>
      <c r="AK78" s="147"/>
      <c r="AL78" s="147"/>
      <c r="AM78" s="147"/>
      <c r="AN78" s="147"/>
      <c r="AO78" s="444"/>
      <c r="AP78" s="444"/>
      <c r="AQ78" s="444"/>
      <c r="AR78" s="444"/>
      <c r="AS78" s="444"/>
      <c r="AT78" s="444"/>
      <c r="AU78" s="444"/>
      <c r="AX78" s="444"/>
      <c r="AY78" s="444"/>
      <c r="AZ78" s="444"/>
      <c r="BA78" s="444"/>
      <c r="BB78" s="444"/>
      <c r="BC78" s="444"/>
    </row>
    <row r="79" spans="25:55" x14ac:dyDescent="0.35">
      <c r="Y79" s="444"/>
      <c r="Z79" s="444"/>
      <c r="AA79" s="444"/>
      <c r="AB79" s="147"/>
      <c r="AC79" s="147"/>
      <c r="AD79" s="147"/>
      <c r="AG79" s="444"/>
      <c r="AH79" s="444"/>
      <c r="AI79" s="444"/>
      <c r="AJ79" s="147"/>
      <c r="AK79" s="147"/>
      <c r="AL79" s="147"/>
      <c r="AM79" s="147"/>
      <c r="AN79" s="147"/>
      <c r="AO79" s="444"/>
      <c r="AP79" s="444"/>
      <c r="AQ79" s="444"/>
      <c r="AR79" s="444"/>
      <c r="AS79" s="444"/>
      <c r="AT79" s="444"/>
      <c r="AU79" s="444"/>
      <c r="AX79" s="444"/>
      <c r="AY79" s="444"/>
      <c r="AZ79" s="444"/>
      <c r="BA79" s="444"/>
      <c r="BB79" s="444"/>
      <c r="BC79" s="444"/>
    </row>
    <row r="80" spans="25:55" x14ac:dyDescent="0.35">
      <c r="Y80" s="444"/>
      <c r="Z80" s="444"/>
      <c r="AA80" s="444"/>
      <c r="AB80" s="147"/>
      <c r="AC80" s="147"/>
      <c r="AD80" s="147"/>
      <c r="AG80" s="444"/>
      <c r="AH80" s="444"/>
      <c r="AI80" s="444"/>
      <c r="AJ80" s="147"/>
      <c r="AK80" s="147"/>
      <c r="AL80" s="147"/>
      <c r="AM80" s="147"/>
      <c r="AN80" s="147"/>
      <c r="AO80" s="444"/>
      <c r="AP80" s="444"/>
      <c r="AQ80" s="444"/>
      <c r="AR80" s="444"/>
      <c r="AS80" s="444"/>
      <c r="AT80" s="444"/>
      <c r="AU80" s="444"/>
      <c r="AX80" s="444"/>
      <c r="AY80" s="444"/>
      <c r="AZ80" s="444"/>
      <c r="BA80" s="444"/>
      <c r="BB80" s="444"/>
      <c r="BC80" s="444"/>
    </row>
    <row r="81" spans="25:55" x14ac:dyDescent="0.35">
      <c r="Y81" s="444"/>
      <c r="Z81" s="444"/>
      <c r="AA81" s="444"/>
      <c r="AB81" s="147"/>
      <c r="AC81" s="147"/>
      <c r="AD81" s="147"/>
      <c r="AG81" s="444"/>
      <c r="AH81" s="444"/>
      <c r="AI81" s="444"/>
      <c r="AJ81" s="147"/>
      <c r="AK81" s="147"/>
      <c r="AL81" s="147"/>
      <c r="AM81" s="147"/>
      <c r="AN81" s="147"/>
      <c r="AO81" s="444"/>
      <c r="AP81" s="444"/>
      <c r="AQ81" s="444"/>
      <c r="AR81" s="444"/>
      <c r="AS81" s="444"/>
      <c r="AT81" s="444"/>
      <c r="AU81" s="444"/>
      <c r="AX81" s="444"/>
      <c r="AY81" s="444"/>
      <c r="AZ81" s="444"/>
      <c r="BA81" s="444"/>
      <c r="BB81" s="444"/>
      <c r="BC81" s="444"/>
    </row>
    <row r="82" spans="25:55" x14ac:dyDescent="0.35">
      <c r="Y82" s="444"/>
      <c r="Z82" s="444"/>
      <c r="AA82" s="444"/>
      <c r="AB82" s="147"/>
      <c r="AC82" s="147"/>
      <c r="AD82" s="147"/>
      <c r="AG82" s="444"/>
      <c r="AH82" s="444"/>
      <c r="AI82" s="444"/>
      <c r="AJ82" s="147"/>
      <c r="AK82" s="147"/>
      <c r="AL82" s="147"/>
      <c r="AM82" s="147"/>
      <c r="AN82" s="147"/>
      <c r="AO82" s="444"/>
      <c r="AP82" s="444"/>
      <c r="AQ82" s="444"/>
      <c r="AR82" s="444"/>
      <c r="AS82" s="444"/>
      <c r="AT82" s="444"/>
      <c r="AU82" s="444"/>
      <c r="AX82" s="444"/>
      <c r="AY82" s="444"/>
      <c r="AZ82" s="444"/>
      <c r="BA82" s="444"/>
      <c r="BB82" s="444"/>
      <c r="BC82" s="444"/>
    </row>
    <row r="83" spans="25:55" x14ac:dyDescent="0.35">
      <c r="Y83" s="444"/>
      <c r="Z83" s="444"/>
      <c r="AA83" s="444"/>
      <c r="AB83" s="147"/>
      <c r="AC83" s="147"/>
      <c r="AD83" s="147"/>
      <c r="AG83" s="444"/>
      <c r="AH83" s="444"/>
      <c r="AI83" s="444"/>
      <c r="AJ83" s="147"/>
      <c r="AK83" s="147"/>
      <c r="AL83" s="147"/>
      <c r="AM83" s="147"/>
      <c r="AN83" s="147"/>
      <c r="AO83" s="444"/>
      <c r="AP83" s="444"/>
      <c r="AQ83" s="444"/>
      <c r="AR83" s="444"/>
      <c r="AS83" s="444"/>
      <c r="AT83" s="444"/>
      <c r="AU83" s="444"/>
      <c r="AX83" s="444"/>
      <c r="AY83" s="444"/>
      <c r="AZ83" s="444"/>
      <c r="BA83" s="444"/>
      <c r="BB83" s="444"/>
      <c r="BC83" s="444"/>
    </row>
    <row r="84" spans="25:55" x14ac:dyDescent="0.35">
      <c r="Y84" s="444"/>
      <c r="Z84" s="444"/>
      <c r="AA84" s="444"/>
      <c r="AB84" s="147"/>
      <c r="AC84" s="147"/>
      <c r="AD84" s="147"/>
      <c r="AG84" s="444"/>
      <c r="AH84" s="444"/>
      <c r="AI84" s="444"/>
      <c r="AJ84" s="147"/>
      <c r="AK84" s="147"/>
      <c r="AL84" s="147"/>
      <c r="AM84" s="147"/>
      <c r="AN84" s="147"/>
      <c r="AO84" s="444"/>
      <c r="AP84" s="444"/>
      <c r="AQ84" s="444"/>
      <c r="AR84" s="444"/>
      <c r="AS84" s="444"/>
      <c r="AT84" s="444"/>
      <c r="AU84" s="444"/>
      <c r="AX84" s="444"/>
      <c r="AY84" s="444"/>
      <c r="AZ84" s="444"/>
      <c r="BA84" s="444"/>
      <c r="BB84" s="444"/>
      <c r="BC84" s="444"/>
    </row>
    <row r="85" spans="25:55" x14ac:dyDescent="0.35">
      <c r="Y85" s="444"/>
      <c r="Z85" s="444"/>
      <c r="AA85" s="444"/>
      <c r="AB85" s="147"/>
      <c r="AC85" s="147"/>
      <c r="AD85" s="147"/>
      <c r="AG85" s="444"/>
      <c r="AH85" s="444"/>
      <c r="AI85" s="444"/>
      <c r="AJ85" s="147"/>
      <c r="AK85" s="147"/>
      <c r="AL85" s="147"/>
      <c r="AM85" s="147"/>
      <c r="AN85" s="147"/>
      <c r="AO85" s="444"/>
      <c r="AP85" s="444"/>
      <c r="AQ85" s="444"/>
      <c r="AR85" s="444"/>
      <c r="AS85" s="444"/>
      <c r="AT85" s="444"/>
      <c r="AU85" s="444"/>
      <c r="AX85" s="444"/>
      <c r="AY85" s="444"/>
      <c r="AZ85" s="444"/>
      <c r="BA85" s="444"/>
      <c r="BB85" s="444"/>
      <c r="BC85" s="444"/>
    </row>
    <row r="86" spans="25:55" x14ac:dyDescent="0.35">
      <c r="Y86" s="444"/>
      <c r="Z86" s="444"/>
      <c r="AA86" s="444"/>
      <c r="AB86" s="147"/>
      <c r="AC86" s="147"/>
      <c r="AD86" s="147"/>
      <c r="AG86" s="444"/>
      <c r="AH86" s="444"/>
      <c r="AI86" s="444"/>
      <c r="AJ86" s="147"/>
      <c r="AK86" s="147"/>
      <c r="AL86" s="147"/>
      <c r="AM86" s="147"/>
      <c r="AN86" s="147"/>
      <c r="AO86" s="444"/>
      <c r="AP86" s="444"/>
      <c r="AQ86" s="444"/>
      <c r="AR86" s="444"/>
      <c r="AS86" s="444"/>
      <c r="AT86" s="444"/>
      <c r="AU86" s="444"/>
      <c r="AX86" s="444"/>
      <c r="AY86" s="444"/>
      <c r="AZ86" s="444"/>
      <c r="BA86" s="444"/>
      <c r="BB86" s="444"/>
      <c r="BC86" s="444"/>
    </row>
    <row r="87" spans="25:55" x14ac:dyDescent="0.35">
      <c r="Y87" s="444"/>
      <c r="Z87" s="444"/>
      <c r="AA87" s="444"/>
      <c r="AB87" s="147"/>
      <c r="AC87" s="147"/>
      <c r="AD87" s="147"/>
      <c r="AG87" s="444"/>
      <c r="AH87" s="444"/>
      <c r="AI87" s="444"/>
      <c r="AJ87" s="147"/>
      <c r="AK87" s="147"/>
      <c r="AL87" s="147"/>
      <c r="AM87" s="147"/>
      <c r="AN87" s="147"/>
      <c r="AO87" s="444"/>
      <c r="AP87" s="444"/>
      <c r="AQ87" s="444"/>
      <c r="AR87" s="444"/>
      <c r="AS87" s="444"/>
      <c r="AT87" s="444"/>
      <c r="AU87" s="444"/>
      <c r="AX87" s="444"/>
      <c r="AY87" s="444"/>
      <c r="AZ87" s="444"/>
      <c r="BA87" s="444"/>
      <c r="BB87" s="444"/>
      <c r="BC87" s="444"/>
    </row>
  </sheetData>
  <mergeCells count="81">
    <mergeCell ref="X5:X17"/>
    <mergeCell ref="Y23:AA24"/>
    <mergeCell ref="AF5:AF17"/>
    <mergeCell ref="AJ23:AL24"/>
    <mergeCell ref="AO23:AP24"/>
    <mergeCell ref="AM24:AN24"/>
    <mergeCell ref="AG23:AI24"/>
    <mergeCell ref="Z10:AD11"/>
    <mergeCell ref="AB23:AD24"/>
    <mergeCell ref="AW17:AW18"/>
    <mergeCell ref="AR5:AR13"/>
    <mergeCell ref="AW19:AW20"/>
    <mergeCell ref="AS16:AS18"/>
    <mergeCell ref="AU23:AU24"/>
    <mergeCell ref="AV15:AV16"/>
    <mergeCell ref="A4:A24"/>
    <mergeCell ref="M4:M24"/>
    <mergeCell ref="U4:V4"/>
    <mergeCell ref="B17:C22"/>
    <mergeCell ref="K5:K12"/>
    <mergeCell ref="T5:T10"/>
    <mergeCell ref="U5:W8"/>
    <mergeCell ref="O5:O8"/>
    <mergeCell ref="R5:R13"/>
    <mergeCell ref="L5:L12"/>
    <mergeCell ref="N5:N15"/>
    <mergeCell ref="Y4:AA4"/>
    <mergeCell ref="U24:V24"/>
    <mergeCell ref="D5:E9"/>
    <mergeCell ref="F5:F8"/>
    <mergeCell ref="H5:H13"/>
    <mergeCell ref="I5:I15"/>
    <mergeCell ref="G5:G17"/>
    <mergeCell ref="D17:E22"/>
    <mergeCell ref="F17:F18"/>
    <mergeCell ref="H17:H18"/>
    <mergeCell ref="J17:J18"/>
    <mergeCell ref="Z12:AD13"/>
    <mergeCell ref="O18:O19"/>
    <mergeCell ref="O20:O21"/>
    <mergeCell ref="W23:W24"/>
    <mergeCell ref="X19:X20"/>
    <mergeCell ref="AG4:AI4"/>
    <mergeCell ref="AS5:AS11"/>
    <mergeCell ref="B5:C12"/>
    <mergeCell ref="F13:F14"/>
    <mergeCell ref="J5:J13"/>
    <mergeCell ref="S5:S16"/>
    <mergeCell ref="AO4:AP4"/>
    <mergeCell ref="AM14:AN14"/>
    <mergeCell ref="AM15:AN16"/>
    <mergeCell ref="AM4:AN4"/>
    <mergeCell ref="AM5:AN13"/>
    <mergeCell ref="AH12:AL13"/>
    <mergeCell ref="AO5:AQ7"/>
    <mergeCell ref="AE4:AE24"/>
    <mergeCell ref="AH10:AL11"/>
    <mergeCell ref="AG5:AL8"/>
    <mergeCell ref="BF16:BF17"/>
    <mergeCell ref="BF5:BF13"/>
    <mergeCell ref="BF19:BF20"/>
    <mergeCell ref="BA5:BA10"/>
    <mergeCell ref="BE5:BE11"/>
    <mergeCell ref="BD5:BD16"/>
    <mergeCell ref="BB5:BC21"/>
    <mergeCell ref="BC23:BC24"/>
    <mergeCell ref="AY23:AY24"/>
    <mergeCell ref="P5:P11"/>
    <mergeCell ref="Q5:Q11"/>
    <mergeCell ref="BA13:BA14"/>
    <mergeCell ref="BA15:BA16"/>
    <mergeCell ref="AW5:AW11"/>
    <mergeCell ref="AV5:AV13"/>
    <mergeCell ref="AZ5:AZ13"/>
    <mergeCell ref="AW12:AW13"/>
    <mergeCell ref="AW14:AW16"/>
    <mergeCell ref="AT5:AU21"/>
    <mergeCell ref="AX5:AY21"/>
    <mergeCell ref="AQ23:AQ24"/>
    <mergeCell ref="U17:W21"/>
    <mergeCell ref="Y5:AD8"/>
  </mergeCells>
  <pageMargins left="0.314" right="0.314" top="0.11799999999999999" bottom="0.27500000000000002" header="0.157" footer="0.11799999999999999"/>
  <pageSetup scale="78" firstPageNumber="20" orientation="landscape" r:id="rId1"/>
  <headerFooter>
    <oddFooter>&amp;C&amp;P</oddFooter>
  </headerFooter>
  <colBreaks count="3" manualBreakCount="3">
    <brk id="12" max="38" man="1"/>
    <brk id="30" max="38" man="1"/>
    <brk id="47" max="38"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89"/>
  <sheetViews>
    <sheetView topLeftCell="A14" zoomScale="130" zoomScaleNormal="110" zoomScaleSheetLayoutView="130" workbookViewId="0">
      <selection activeCell="B5" sqref="B5:C13"/>
    </sheetView>
  </sheetViews>
  <sheetFormatPr defaultColWidth="8.81640625" defaultRowHeight="15.5" x14ac:dyDescent="0.35"/>
  <cols>
    <col min="1" max="1" width="3.453125" style="442" customWidth="1"/>
    <col min="2" max="2" width="19.1796875" style="443" customWidth="1"/>
    <col min="3" max="3" width="5" style="443" bestFit="1" customWidth="1"/>
    <col min="4" max="4" width="13.453125" style="443" customWidth="1"/>
    <col min="5" max="5" width="7.453125" style="443" customWidth="1"/>
    <col min="6" max="6" width="19.453125" style="443" customWidth="1"/>
    <col min="7" max="7" width="10.7265625" style="443" customWidth="1"/>
    <col min="8" max="9" width="10.7265625" style="180" customWidth="1"/>
    <col min="10" max="10" width="20.7265625" style="444" customWidth="1"/>
    <col min="11" max="11" width="3.453125" style="442" customWidth="1"/>
    <col min="12" max="12" width="7.1796875" style="180" bestFit="1" customWidth="1"/>
    <col min="13" max="13" width="7.81640625" style="180" customWidth="1"/>
    <col min="14" max="14" width="6.453125" style="180" customWidth="1"/>
    <col min="15" max="15" width="10.7265625" style="443" customWidth="1"/>
    <col min="16" max="16" width="1.1796875" style="443" customWidth="1"/>
    <col min="17" max="17" width="1.453125" style="443" customWidth="1"/>
    <col min="18" max="18" width="10.1796875" style="443" customWidth="1"/>
    <col min="19" max="19" width="3" style="180" customWidth="1"/>
    <col min="20" max="20" width="2.7265625" style="180" customWidth="1"/>
    <col min="21" max="21" width="3" style="180" customWidth="1"/>
    <col min="22" max="22" width="11.7265625" style="443" customWidth="1"/>
    <col min="23" max="23" width="1.1796875" style="443" customWidth="1"/>
    <col min="24" max="24" width="1.453125" style="443" customWidth="1"/>
    <col min="25" max="25" width="10.1796875" style="443" customWidth="1"/>
    <col min="26" max="26" width="3" style="180" customWidth="1"/>
    <col min="27" max="27" width="2.7265625" style="180" customWidth="1"/>
    <col min="28" max="28" width="3" style="180" customWidth="1"/>
    <col min="29" max="29" width="1.453125" style="180" customWidth="1"/>
    <col min="30" max="30" width="12.453125" style="180" customWidth="1"/>
    <col min="31" max="31" width="2.7265625" style="443" customWidth="1"/>
    <col min="32" max="32" width="7.453125" style="443" customWidth="1"/>
    <col min="33" max="33" width="7.1796875" style="443" customWidth="1"/>
  </cols>
  <sheetData>
    <row r="1" spans="1:33" ht="15.75" customHeight="1" x14ac:dyDescent="0.25">
      <c r="A1" s="398" t="s">
        <v>682</v>
      </c>
      <c r="B1" s="399"/>
      <c r="C1" s="399"/>
      <c r="D1" s="399"/>
      <c r="E1" s="399"/>
      <c r="F1" s="399"/>
      <c r="G1" s="399"/>
      <c r="H1" s="399"/>
      <c r="I1" s="400"/>
      <c r="J1" s="400"/>
      <c r="K1" s="398" t="s">
        <v>682</v>
      </c>
      <c r="L1" s="399"/>
      <c r="M1" s="399"/>
      <c r="N1" s="399"/>
      <c r="O1" s="399"/>
      <c r="P1" s="399"/>
      <c r="Q1" s="399"/>
      <c r="R1" s="399"/>
      <c r="S1" s="178"/>
      <c r="T1" s="178"/>
      <c r="U1" s="178"/>
      <c r="V1" s="399"/>
      <c r="W1" s="399"/>
      <c r="X1" s="399"/>
      <c r="Y1" s="399"/>
      <c r="Z1" s="178"/>
      <c r="AA1" s="178"/>
      <c r="AB1" s="178"/>
      <c r="AC1" s="178"/>
      <c r="AD1" s="178"/>
      <c r="AE1" s="399"/>
      <c r="AF1" s="399"/>
      <c r="AG1" s="399"/>
    </row>
    <row r="2" spans="1:33" ht="15.75" customHeight="1" x14ac:dyDescent="0.25">
      <c r="A2" s="398" t="s">
        <v>839</v>
      </c>
      <c r="B2" s="328"/>
      <c r="C2" s="328"/>
      <c r="D2" s="328"/>
      <c r="E2" s="328"/>
      <c r="F2" s="328"/>
      <c r="G2" s="403"/>
      <c r="H2" s="328"/>
      <c r="I2" s="400"/>
      <c r="J2" s="400"/>
      <c r="K2" s="1773" t="s">
        <v>839</v>
      </c>
      <c r="L2" s="328"/>
      <c r="M2" s="328"/>
      <c r="N2" s="328"/>
      <c r="O2" s="403"/>
      <c r="P2" s="403"/>
      <c r="Q2" s="403"/>
      <c r="R2" s="403"/>
      <c r="S2" s="404"/>
      <c r="T2" s="404"/>
      <c r="U2" s="404"/>
      <c r="V2" s="403"/>
      <c r="W2" s="403"/>
      <c r="X2" s="403"/>
      <c r="Y2" s="403"/>
      <c r="Z2" s="404"/>
      <c r="AA2" s="404"/>
      <c r="AB2" s="404"/>
      <c r="AC2" s="404"/>
      <c r="AD2" s="404"/>
      <c r="AE2" s="403"/>
      <c r="AF2" s="403"/>
      <c r="AG2" s="403"/>
    </row>
    <row r="3" spans="1:33" ht="15.75" customHeight="1" x14ac:dyDescent="0.25">
      <c r="A3" s="405"/>
      <c r="B3" s="328"/>
      <c r="C3" s="328"/>
      <c r="D3" s="328"/>
      <c r="E3" s="328"/>
      <c r="F3" s="328"/>
      <c r="G3" s="403"/>
      <c r="H3" s="328"/>
      <c r="I3" s="328"/>
      <c r="J3" s="400"/>
      <c r="K3" s="405"/>
      <c r="L3" s="328"/>
      <c r="M3" s="328"/>
      <c r="N3" s="328"/>
      <c r="O3" s="403"/>
      <c r="P3" s="403"/>
      <c r="Q3" s="403"/>
      <c r="R3" s="403"/>
      <c r="S3" s="404"/>
      <c r="T3" s="404"/>
      <c r="U3" s="404"/>
      <c r="V3" s="403"/>
      <c r="W3" s="403"/>
      <c r="X3" s="403"/>
      <c r="Y3" s="403"/>
      <c r="Z3" s="404"/>
      <c r="AA3" s="404"/>
      <c r="AB3" s="404"/>
      <c r="AC3" s="404"/>
      <c r="AD3" s="404"/>
      <c r="AE3" s="403"/>
      <c r="AF3" s="403"/>
      <c r="AG3" s="403"/>
    </row>
    <row r="4" spans="1:33" ht="13.5" customHeight="1" x14ac:dyDescent="0.25">
      <c r="A4" s="2766" t="s">
        <v>170</v>
      </c>
      <c r="B4" s="2464">
        <f>S04_Emploi_B!BD4+0.01</f>
        <v>4.51</v>
      </c>
      <c r="C4" s="2449"/>
      <c r="D4" s="2448">
        <f>B4+0.01</f>
        <v>4.5199999999999996</v>
      </c>
      <c r="E4" s="2464"/>
      <c r="F4" s="406">
        <f>D4+0.01</f>
        <v>4.5299999999999994</v>
      </c>
      <c r="G4" s="406">
        <f>F4+0.01</f>
        <v>4.5399999999999991</v>
      </c>
      <c r="H4" s="406">
        <f>G4+0.01</f>
        <v>4.5499999999999989</v>
      </c>
      <c r="I4" s="406">
        <f>H4+0.01</f>
        <v>4.5599999999999987</v>
      </c>
      <c r="J4" s="406">
        <f>I4+0.01</f>
        <v>4.5699999999999985</v>
      </c>
      <c r="K4" s="2766" t="s">
        <v>170</v>
      </c>
      <c r="L4" s="989">
        <f>J4+0.01</f>
        <v>4.5799999999999983</v>
      </c>
      <c r="M4" s="2452"/>
      <c r="N4" s="152"/>
      <c r="O4" s="2448">
        <f>L4+0.01</f>
        <v>4.5899999999999981</v>
      </c>
      <c r="P4" s="3113">
        <f>O4+0.01</f>
        <v>4.5999999999999979</v>
      </c>
      <c r="Q4" s="3201"/>
      <c r="R4" s="3201"/>
      <c r="S4" s="151"/>
      <c r="T4" s="151"/>
      <c r="U4" s="152"/>
      <c r="V4" s="2448">
        <f>P4+0.01</f>
        <v>4.6099999999999977</v>
      </c>
      <c r="W4" s="3113">
        <f>V4+0.01</f>
        <v>4.6199999999999974</v>
      </c>
      <c r="X4" s="3201"/>
      <c r="Y4" s="3201"/>
      <c r="Z4" s="151"/>
      <c r="AA4" s="151"/>
      <c r="AB4" s="152"/>
      <c r="AC4" s="3113">
        <f>W4+0.01</f>
        <v>4.6299999999999972</v>
      </c>
      <c r="AD4" s="3114"/>
      <c r="AE4" s="3113">
        <f>AC4+0.01</f>
        <v>4.639999999999997</v>
      </c>
      <c r="AF4" s="3202"/>
      <c r="AG4" s="2449"/>
    </row>
    <row r="5" spans="1:33" ht="12.75" customHeight="1" x14ac:dyDescent="0.25">
      <c r="A5" s="2767"/>
      <c r="B5" s="3021" t="s">
        <v>840</v>
      </c>
      <c r="C5" s="2787"/>
      <c r="D5" s="2784" t="s">
        <v>782</v>
      </c>
      <c r="E5" s="2785"/>
      <c r="F5" s="2783" t="s">
        <v>783</v>
      </c>
      <c r="G5" s="2783" t="s">
        <v>841</v>
      </c>
      <c r="H5" s="2783" t="s">
        <v>842</v>
      </c>
      <c r="I5" s="3184" t="s">
        <v>789</v>
      </c>
      <c r="J5" s="2783" t="s">
        <v>843</v>
      </c>
      <c r="K5" s="2767"/>
      <c r="L5" s="2784" t="s">
        <v>844</v>
      </c>
      <c r="M5" s="2785"/>
      <c r="N5" s="2787"/>
      <c r="O5" s="2783" t="s">
        <v>798</v>
      </c>
      <c r="P5" s="3206" t="s">
        <v>799</v>
      </c>
      <c r="Q5" s="3207"/>
      <c r="R5" s="3207"/>
      <c r="S5" s="3207"/>
      <c r="T5" s="3207"/>
      <c r="U5" s="3208"/>
      <c r="V5" s="2783" t="s">
        <v>845</v>
      </c>
      <c r="W5" s="3206" t="s">
        <v>801</v>
      </c>
      <c r="X5" s="3207"/>
      <c r="Y5" s="3207"/>
      <c r="Z5" s="3207"/>
      <c r="AA5" s="3207"/>
      <c r="AB5" s="3208"/>
      <c r="AC5" s="2784" t="s">
        <v>846</v>
      </c>
      <c r="AD5" s="2787"/>
      <c r="AE5" s="3203" t="s">
        <v>803</v>
      </c>
      <c r="AF5" s="3204"/>
      <c r="AG5" s="3205"/>
    </row>
    <row r="6" spans="1:33" ht="12.75" customHeight="1" x14ac:dyDescent="0.25">
      <c r="A6" s="2767"/>
      <c r="B6" s="3021"/>
      <c r="C6" s="2787"/>
      <c r="D6" s="2784"/>
      <c r="E6" s="2785"/>
      <c r="F6" s="2783"/>
      <c r="G6" s="2783"/>
      <c r="H6" s="2783"/>
      <c r="I6" s="3184"/>
      <c r="J6" s="2783"/>
      <c r="K6" s="2767"/>
      <c r="L6" s="2784"/>
      <c r="M6" s="2785"/>
      <c r="N6" s="2787"/>
      <c r="O6" s="2783"/>
      <c r="P6" s="3209"/>
      <c r="Q6" s="3207"/>
      <c r="R6" s="3207"/>
      <c r="S6" s="3207"/>
      <c r="T6" s="3207"/>
      <c r="U6" s="3208"/>
      <c r="V6" s="2783"/>
      <c r="W6" s="3209"/>
      <c r="X6" s="3207"/>
      <c r="Y6" s="3207"/>
      <c r="Z6" s="3207"/>
      <c r="AA6" s="3207"/>
      <c r="AB6" s="3208"/>
      <c r="AC6" s="2784"/>
      <c r="AD6" s="2787"/>
      <c r="AE6" s="3203"/>
      <c r="AF6" s="3204"/>
      <c r="AG6" s="3205"/>
    </row>
    <row r="7" spans="1:33" ht="12.75" customHeight="1" x14ac:dyDescent="0.25">
      <c r="A7" s="2767"/>
      <c r="B7" s="3021"/>
      <c r="C7" s="2787"/>
      <c r="D7" s="2784"/>
      <c r="E7" s="2785"/>
      <c r="F7" s="2783"/>
      <c r="G7" s="2783"/>
      <c r="H7" s="2783"/>
      <c r="I7" s="3184"/>
      <c r="J7" s="2783"/>
      <c r="K7" s="2767"/>
      <c r="L7" s="2784"/>
      <c r="M7" s="2785"/>
      <c r="N7" s="2787"/>
      <c r="O7" s="2783"/>
      <c r="P7" s="3209"/>
      <c r="Q7" s="3207"/>
      <c r="R7" s="3207"/>
      <c r="S7" s="3207"/>
      <c r="T7" s="3207"/>
      <c r="U7" s="3208"/>
      <c r="V7" s="2783"/>
      <c r="W7" s="3209"/>
      <c r="X7" s="3207"/>
      <c r="Y7" s="3207"/>
      <c r="Z7" s="3207"/>
      <c r="AA7" s="3207"/>
      <c r="AB7" s="3208"/>
      <c r="AC7" s="2784"/>
      <c r="AD7" s="2787"/>
      <c r="AE7" s="3203"/>
      <c r="AF7" s="3204"/>
      <c r="AG7" s="3205"/>
    </row>
    <row r="8" spans="1:33" ht="13.5" customHeight="1" x14ac:dyDescent="0.25">
      <c r="A8" s="2767"/>
      <c r="B8" s="3021"/>
      <c r="C8" s="2787"/>
      <c r="D8" s="2784"/>
      <c r="E8" s="2785"/>
      <c r="F8" s="2783"/>
      <c r="G8" s="2783"/>
      <c r="H8" s="2783"/>
      <c r="I8" s="3184"/>
      <c r="J8" s="2783"/>
      <c r="K8" s="2767"/>
      <c r="L8" s="2784"/>
      <c r="M8" s="2785"/>
      <c r="N8" s="2787"/>
      <c r="O8" s="2783"/>
      <c r="P8" s="3210"/>
      <c r="Q8" s="3211"/>
      <c r="R8" s="3211"/>
      <c r="S8" s="3211"/>
      <c r="T8" s="3211"/>
      <c r="U8" s="3212"/>
      <c r="V8" s="2783"/>
      <c r="W8" s="3210"/>
      <c r="X8" s="3211"/>
      <c r="Y8" s="3211"/>
      <c r="Z8" s="3211"/>
      <c r="AA8" s="3211"/>
      <c r="AB8" s="3212"/>
      <c r="AC8" s="2784"/>
      <c r="AD8" s="2787"/>
      <c r="AE8" s="1815" t="s">
        <v>814</v>
      </c>
      <c r="AF8" s="408"/>
      <c r="AG8" s="159"/>
    </row>
    <row r="9" spans="1:33" ht="13.5" customHeight="1" x14ac:dyDescent="0.25">
      <c r="A9" s="2767"/>
      <c r="B9" s="3021"/>
      <c r="C9" s="2787"/>
      <c r="D9" s="2784"/>
      <c r="E9" s="2785"/>
      <c r="F9" s="58"/>
      <c r="G9" s="2783"/>
      <c r="H9" s="2783"/>
      <c r="I9" s="3184"/>
      <c r="J9" s="186"/>
      <c r="K9" s="2767"/>
      <c r="L9" s="369"/>
      <c r="M9" s="158"/>
      <c r="N9" s="159"/>
      <c r="O9" s="2783"/>
      <c r="P9" s="369"/>
      <c r="Q9" s="160" t="s">
        <v>815</v>
      </c>
      <c r="R9" s="158"/>
      <c r="S9" s="158"/>
      <c r="T9" s="158"/>
      <c r="U9" s="159"/>
      <c r="V9" s="2783"/>
      <c r="W9" s="369"/>
      <c r="X9" s="160" t="s">
        <v>815</v>
      </c>
      <c r="Y9" s="158"/>
      <c r="Z9" s="158"/>
      <c r="AA9" s="158"/>
      <c r="AB9" s="159"/>
      <c r="AC9" s="2784"/>
      <c r="AD9" s="2787"/>
      <c r="AE9" s="407"/>
      <c r="AF9" s="408"/>
      <c r="AG9" s="159"/>
    </row>
    <row r="10" spans="1:33" ht="13.5" customHeight="1" x14ac:dyDescent="0.25">
      <c r="A10" s="2767"/>
      <c r="B10" s="3021"/>
      <c r="C10" s="2787"/>
      <c r="D10" s="2784"/>
      <c r="E10" s="2785"/>
      <c r="F10" s="58" t="str">
        <f>S04_Emploi_B!F12</f>
        <v>1 Etat/Collectivités locales</v>
      </c>
      <c r="G10" s="2783"/>
      <c r="H10" s="2783"/>
      <c r="I10" s="3184"/>
      <c r="J10" s="186" t="s">
        <v>847</v>
      </c>
      <c r="K10" s="2767"/>
      <c r="L10" s="369"/>
      <c r="M10" s="411"/>
      <c r="N10" s="159"/>
      <c r="O10" s="2783"/>
      <c r="P10" s="369"/>
      <c r="Q10" s="3213"/>
      <c r="R10" s="3213"/>
      <c r="S10" s="3213"/>
      <c r="T10" s="3213"/>
      <c r="U10" s="3214"/>
      <c r="V10" s="2783"/>
      <c r="W10" s="369"/>
      <c r="X10" s="3178"/>
      <c r="Y10" s="3178"/>
      <c r="Z10" s="3178"/>
      <c r="AA10" s="3178"/>
      <c r="AB10" s="3183"/>
      <c r="AC10" s="2784"/>
      <c r="AD10" s="2787"/>
      <c r="AE10" s="1628"/>
      <c r="AF10" s="1629" t="s">
        <v>816</v>
      </c>
      <c r="AG10" s="159"/>
    </row>
    <row r="11" spans="1:33" ht="13.5" customHeight="1" x14ac:dyDescent="0.25">
      <c r="A11" s="2767"/>
      <c r="B11" s="3021"/>
      <c r="C11" s="2787"/>
      <c r="D11" s="409"/>
      <c r="E11" s="410"/>
      <c r="F11" s="2951" t="str">
        <f>S04_Emploi_B!F13</f>
        <v>2 Entreprise publique/ parapublique</v>
      </c>
      <c r="G11" s="2783"/>
      <c r="H11" s="2783"/>
      <c r="I11" s="3187"/>
      <c r="J11" s="182" t="s">
        <v>249</v>
      </c>
      <c r="K11" s="2767"/>
      <c r="L11" s="1628"/>
      <c r="M11" s="1629" t="s">
        <v>816</v>
      </c>
      <c r="N11" s="159"/>
      <c r="O11" s="2783"/>
      <c r="P11" s="369"/>
      <c r="Q11" s="3213"/>
      <c r="R11" s="3213"/>
      <c r="S11" s="3213"/>
      <c r="T11" s="3213"/>
      <c r="U11" s="3214"/>
      <c r="V11" s="2783"/>
      <c r="W11" s="369"/>
      <c r="X11" s="3178"/>
      <c r="Y11" s="3178"/>
      <c r="Z11" s="3178"/>
      <c r="AA11" s="3178"/>
      <c r="AB11" s="3183"/>
      <c r="AC11" s="2784"/>
      <c r="AD11" s="2787"/>
      <c r="AE11" s="1630">
        <v>1</v>
      </c>
      <c r="AF11" s="1631" t="s">
        <v>817</v>
      </c>
      <c r="AG11" s="159"/>
    </row>
    <row r="12" spans="1:33" ht="13.5" customHeight="1" x14ac:dyDescent="0.25">
      <c r="A12" s="2767"/>
      <c r="B12" s="3021"/>
      <c r="C12" s="2787"/>
      <c r="D12" s="369"/>
      <c r="E12" s="158"/>
      <c r="F12" s="2951"/>
      <c r="G12" s="2783"/>
      <c r="H12" s="2783"/>
      <c r="I12" s="3187"/>
      <c r="J12" s="190" t="s">
        <v>848</v>
      </c>
      <c r="K12" s="2767"/>
      <c r="L12" s="1630">
        <v>1</v>
      </c>
      <c r="M12" s="1631" t="s">
        <v>817</v>
      </c>
      <c r="N12" s="159"/>
      <c r="O12" s="2783"/>
      <c r="P12" s="369"/>
      <c r="Q12" s="3213"/>
      <c r="R12" s="3213"/>
      <c r="S12" s="3213"/>
      <c r="T12" s="3213"/>
      <c r="U12" s="3214"/>
      <c r="V12" s="2783"/>
      <c r="W12" s="369"/>
      <c r="X12" s="3178"/>
      <c r="Y12" s="3178"/>
      <c r="Z12" s="3178"/>
      <c r="AA12" s="3178"/>
      <c r="AB12" s="3183"/>
      <c r="AC12" s="2784"/>
      <c r="AD12" s="2787"/>
      <c r="AE12" s="1630">
        <v>2</v>
      </c>
      <c r="AF12" s="1631" t="s">
        <v>347</v>
      </c>
      <c r="AG12" s="159"/>
    </row>
    <row r="13" spans="1:33" ht="13.5" customHeight="1" x14ac:dyDescent="0.25">
      <c r="A13" s="2767"/>
      <c r="B13" s="3021"/>
      <c r="C13" s="2787"/>
      <c r="D13" s="369"/>
      <c r="E13" s="158"/>
      <c r="F13" s="58" t="str">
        <f>S04_Emploi_B!F15</f>
        <v>3 Entreprise Privée</v>
      </c>
      <c r="G13" s="2783"/>
      <c r="H13" s="2783"/>
      <c r="I13" s="37"/>
      <c r="J13" s="182" t="s">
        <v>273</v>
      </c>
      <c r="K13" s="2767"/>
      <c r="L13" s="1630">
        <v>2</v>
      </c>
      <c r="M13" s="1631" t="s">
        <v>347</v>
      </c>
      <c r="N13" s="159"/>
      <c r="O13" s="2783"/>
      <c r="P13" s="369"/>
      <c r="Q13" s="3213"/>
      <c r="R13" s="3213"/>
      <c r="S13" s="3213"/>
      <c r="T13" s="3213"/>
      <c r="U13" s="3214"/>
      <c r="V13" s="2783"/>
      <c r="W13" s="369"/>
      <c r="X13" s="3178"/>
      <c r="Y13" s="3178"/>
      <c r="Z13" s="3178"/>
      <c r="AA13" s="3178"/>
      <c r="AB13" s="3183"/>
      <c r="AC13" s="2784"/>
      <c r="AD13" s="2787"/>
      <c r="AE13" s="1630">
        <v>3</v>
      </c>
      <c r="AF13" s="1631" t="s">
        <v>820</v>
      </c>
      <c r="AG13" s="159"/>
    </row>
    <row r="14" spans="1:33" ht="15.75" customHeight="1" x14ac:dyDescent="0.25">
      <c r="A14" s="2767"/>
      <c r="B14" s="412"/>
      <c r="C14" s="14"/>
      <c r="D14" s="369"/>
      <c r="E14" s="158"/>
      <c r="F14" s="58" t="str">
        <f>S04_Emploi_B!F16</f>
        <v>4 Entreprise associative</v>
      </c>
      <c r="G14" s="58"/>
      <c r="H14" s="58"/>
      <c r="I14" s="37"/>
      <c r="J14" s="2846" t="s">
        <v>822</v>
      </c>
      <c r="K14" s="2767"/>
      <c r="L14" s="1630">
        <v>3</v>
      </c>
      <c r="M14" s="1631" t="s">
        <v>820</v>
      </c>
      <c r="N14" s="159"/>
      <c r="O14" s="2783"/>
      <c r="P14" s="369"/>
      <c r="Q14" s="158"/>
      <c r="R14" s="158"/>
      <c r="S14" s="158"/>
      <c r="T14" s="158"/>
      <c r="U14" s="159"/>
      <c r="V14" s="2783"/>
      <c r="W14" s="369"/>
      <c r="X14" s="158"/>
      <c r="Y14" s="158"/>
      <c r="Z14" s="158"/>
      <c r="AA14" s="158"/>
      <c r="AB14" s="159"/>
      <c r="AC14" s="3165" t="s">
        <v>227</v>
      </c>
      <c r="AD14" s="3166"/>
      <c r="AE14" s="1630">
        <v>4</v>
      </c>
      <c r="AF14" s="1631" t="s">
        <v>824</v>
      </c>
      <c r="AG14" s="159"/>
    </row>
    <row r="15" spans="1:33" ht="13.5" customHeight="1" x14ac:dyDescent="0.25">
      <c r="A15" s="2767"/>
      <c r="B15" s="2369"/>
      <c r="C15" s="2370"/>
      <c r="D15" s="369"/>
      <c r="E15" s="158"/>
      <c r="F15" s="2783" t="str">
        <f>S04_Emploi_B!F17</f>
        <v>5 Ménage comme employeur de personnel domestique</v>
      </c>
      <c r="G15" s="58"/>
      <c r="H15" s="58"/>
      <c r="I15" s="58"/>
      <c r="J15" s="2846"/>
      <c r="K15" s="2767"/>
      <c r="L15" s="1630">
        <v>4</v>
      </c>
      <c r="M15" s="1631" t="s">
        <v>824</v>
      </c>
      <c r="N15" s="159"/>
      <c r="O15" s="2783"/>
      <c r="P15" s="369"/>
      <c r="Q15" s="1633"/>
      <c r="R15" s="1633" t="s">
        <v>816</v>
      </c>
      <c r="S15" s="158"/>
      <c r="T15" s="158"/>
      <c r="U15" s="159"/>
      <c r="V15" s="2783"/>
      <c r="W15" s="369"/>
      <c r="X15" s="1629"/>
      <c r="Y15" s="1629" t="s">
        <v>816</v>
      </c>
      <c r="Z15" s="158"/>
      <c r="AA15" s="158"/>
      <c r="AB15" s="159"/>
      <c r="AC15" s="2784" t="str">
        <f>CONCATENATE("2 Non ►Section 5")</f>
        <v>2 Non ►Section 5</v>
      </c>
      <c r="AD15" s="2787"/>
      <c r="AE15" s="369"/>
      <c r="AF15" s="158"/>
      <c r="AG15" s="159"/>
    </row>
    <row r="16" spans="1:33" ht="15.75" customHeight="1" x14ac:dyDescent="0.25">
      <c r="A16" s="2767"/>
      <c r="B16" s="3021" t="s">
        <v>831</v>
      </c>
      <c r="C16" s="2787"/>
      <c r="D16" s="2784" t="s">
        <v>849</v>
      </c>
      <c r="E16" s="2785"/>
      <c r="F16" s="2783"/>
      <c r="G16" s="58"/>
      <c r="H16" s="58"/>
      <c r="I16" s="58"/>
      <c r="J16" s="182" t="s">
        <v>850</v>
      </c>
      <c r="K16" s="2767"/>
      <c r="L16" s="369"/>
      <c r="M16" s="158"/>
      <c r="N16" s="159"/>
      <c r="O16" s="2783"/>
      <c r="P16" s="369"/>
      <c r="Q16" s="1631">
        <v>1</v>
      </c>
      <c r="R16" s="1631" t="s">
        <v>817</v>
      </c>
      <c r="S16" s="158"/>
      <c r="T16" s="158"/>
      <c r="U16" s="159"/>
      <c r="V16" s="2783"/>
      <c r="W16" s="369"/>
      <c r="X16" s="1631">
        <v>1</v>
      </c>
      <c r="Y16" s="1631" t="s">
        <v>817</v>
      </c>
      <c r="Z16" s="158"/>
      <c r="AA16" s="158"/>
      <c r="AB16" s="159"/>
      <c r="AC16" s="2784"/>
      <c r="AD16" s="2787"/>
      <c r="AE16" s="369"/>
      <c r="AF16" s="158"/>
      <c r="AG16" s="159"/>
    </row>
    <row r="17" spans="1:33" ht="13.5" customHeight="1" x14ac:dyDescent="0.25">
      <c r="A17" s="2767"/>
      <c r="B17" s="3021"/>
      <c r="C17" s="2787"/>
      <c r="D17" s="2784"/>
      <c r="E17" s="2785"/>
      <c r="F17" s="2783"/>
      <c r="G17" s="58"/>
      <c r="H17" s="58"/>
      <c r="I17" s="58"/>
      <c r="J17" s="252" t="s">
        <v>851</v>
      </c>
      <c r="K17" s="2767"/>
      <c r="L17" s="3177"/>
      <c r="M17" s="3178"/>
      <c r="N17" s="3183"/>
      <c r="O17" s="2783"/>
      <c r="P17" s="369"/>
      <c r="Q17" s="1631">
        <v>2</v>
      </c>
      <c r="R17" s="1631" t="s">
        <v>347</v>
      </c>
      <c r="S17" s="158"/>
      <c r="T17" s="158"/>
      <c r="U17" s="159"/>
      <c r="V17" s="2783"/>
      <c r="W17" s="369"/>
      <c r="X17" s="1631">
        <v>2</v>
      </c>
      <c r="Y17" s="1631" t="s">
        <v>347</v>
      </c>
      <c r="Z17" s="158"/>
      <c r="AA17" s="158"/>
      <c r="AB17" s="159"/>
      <c r="AC17" s="2784"/>
      <c r="AD17" s="2787"/>
      <c r="AE17" s="369"/>
      <c r="AF17" s="158"/>
      <c r="AG17" s="159"/>
    </row>
    <row r="18" spans="1:33" ht="40.5" customHeight="1" x14ac:dyDescent="0.25">
      <c r="A18" s="2767"/>
      <c r="B18" s="3021"/>
      <c r="C18" s="2787"/>
      <c r="D18" s="2784"/>
      <c r="E18" s="2785"/>
      <c r="F18" s="2453" t="str">
        <f>S04_Emploi_B!F19</f>
        <v>6 Organisme international /Ambassade</v>
      </c>
      <c r="G18" s="58"/>
      <c r="H18" s="58"/>
      <c r="I18" s="58"/>
      <c r="J18" s="2433" t="s">
        <v>852</v>
      </c>
      <c r="K18" s="2767"/>
      <c r="L18" s="3177"/>
      <c r="M18" s="3178"/>
      <c r="N18" s="3183"/>
      <c r="O18" s="369" t="s">
        <v>227</v>
      </c>
      <c r="P18" s="369"/>
      <c r="Q18" s="1631">
        <v>3</v>
      </c>
      <c r="R18" s="1631" t="s">
        <v>820</v>
      </c>
      <c r="S18" s="158"/>
      <c r="T18" s="158"/>
      <c r="U18" s="159"/>
      <c r="V18" s="2783"/>
      <c r="W18" s="369"/>
      <c r="X18" s="1631">
        <v>3</v>
      </c>
      <c r="Y18" s="1631" t="s">
        <v>820</v>
      </c>
      <c r="Z18" s="158"/>
      <c r="AA18" s="158"/>
      <c r="AB18" s="159"/>
      <c r="AC18" s="369"/>
      <c r="AD18" s="159"/>
      <c r="AE18" s="369"/>
      <c r="AF18" s="158"/>
      <c r="AG18" s="159"/>
    </row>
    <row r="19" spans="1:33" ht="27" customHeight="1" x14ac:dyDescent="0.35">
      <c r="A19" s="2767"/>
      <c r="B19" s="3021"/>
      <c r="C19" s="2787"/>
      <c r="D19" s="2784"/>
      <c r="E19" s="2785"/>
      <c r="F19" s="484"/>
      <c r="G19" s="58"/>
      <c r="H19" s="58"/>
      <c r="I19" s="58"/>
      <c r="J19" s="181" t="s">
        <v>853</v>
      </c>
      <c r="K19" s="2767"/>
      <c r="L19" s="3177"/>
      <c r="M19" s="3178"/>
      <c r="N19" s="3183"/>
      <c r="O19" s="2932" t="str">
        <f>CONCATENATE("2 Non ►( ",TEXT(ROUND(V4,2),"0.00"),")")</f>
        <v>2 Non ►( 4.61)</v>
      </c>
      <c r="P19" s="369"/>
      <c r="Q19" s="1631">
        <v>4</v>
      </c>
      <c r="R19" s="1631" t="s">
        <v>824</v>
      </c>
      <c r="S19" s="158"/>
      <c r="T19" s="158"/>
      <c r="U19" s="159"/>
      <c r="W19" s="369"/>
      <c r="X19" s="1631">
        <v>4</v>
      </c>
      <c r="Y19" s="1631" t="s">
        <v>824</v>
      </c>
      <c r="Z19" s="158"/>
      <c r="AA19" s="158"/>
      <c r="AB19" s="159"/>
      <c r="AC19" s="369"/>
      <c r="AD19" s="159"/>
      <c r="AE19" s="369"/>
      <c r="AF19" s="158"/>
      <c r="AG19" s="159"/>
    </row>
    <row r="20" spans="1:33" ht="13.5" customHeight="1" x14ac:dyDescent="0.25">
      <c r="A20" s="2767"/>
      <c r="B20" s="3021"/>
      <c r="C20" s="2787"/>
      <c r="D20" s="2784"/>
      <c r="E20" s="2785"/>
      <c r="F20" s="413"/>
      <c r="G20" s="58"/>
      <c r="H20" s="58"/>
      <c r="I20" s="58"/>
      <c r="J20" s="2842" t="s">
        <v>854</v>
      </c>
      <c r="K20" s="2767"/>
      <c r="L20" s="3177"/>
      <c r="M20" s="3178"/>
      <c r="N20" s="3183"/>
      <c r="O20" s="2932"/>
      <c r="P20" s="369"/>
      <c r="Q20" s="158"/>
      <c r="R20" s="158"/>
      <c r="S20" s="158"/>
      <c r="T20" s="158"/>
      <c r="U20" s="159"/>
      <c r="V20" s="369" t="s">
        <v>227</v>
      </c>
      <c r="W20" s="369"/>
      <c r="X20" s="158"/>
      <c r="Y20" s="158"/>
      <c r="Z20" s="158"/>
      <c r="AA20" s="158"/>
      <c r="AB20" s="159"/>
      <c r="AC20" s="369"/>
      <c r="AD20" s="159"/>
      <c r="AE20" s="369"/>
      <c r="AF20" s="158"/>
      <c r="AG20" s="159"/>
    </row>
    <row r="21" spans="1:33" ht="13.5" customHeight="1" x14ac:dyDescent="0.25">
      <c r="A21" s="2767"/>
      <c r="B21" s="3021"/>
      <c r="C21" s="2787"/>
      <c r="D21" s="2784"/>
      <c r="E21" s="2785"/>
      <c r="F21" s="58"/>
      <c r="G21" s="58"/>
      <c r="H21" s="58"/>
      <c r="I21" s="58"/>
      <c r="J21" s="2842"/>
      <c r="K21" s="2767"/>
      <c r="L21" s="3177"/>
      <c r="M21" s="3178"/>
      <c r="N21" s="3183"/>
      <c r="O21" s="684"/>
      <c r="P21" s="369"/>
      <c r="Q21" s="158"/>
      <c r="R21" s="158"/>
      <c r="S21" s="158"/>
      <c r="T21" s="158"/>
      <c r="U21" s="159"/>
      <c r="V21" s="2932" t="str">
        <f>CONCATENATE("2 Non ►( ",TEXT(AC4,"0.00"),")")</f>
        <v>2 Non ►( 4.63)</v>
      </c>
      <c r="W21" s="369"/>
      <c r="X21" s="158"/>
      <c r="Y21" s="158"/>
      <c r="Z21" s="158"/>
      <c r="AA21" s="158"/>
      <c r="AB21" s="159"/>
      <c r="AC21" s="369"/>
      <c r="AD21" s="159"/>
      <c r="AE21" s="369"/>
      <c r="AF21" s="158"/>
      <c r="AG21" s="159"/>
    </row>
    <row r="22" spans="1:33" ht="13.5" customHeight="1" x14ac:dyDescent="0.25">
      <c r="A22" s="2767"/>
      <c r="B22" s="3021"/>
      <c r="C22" s="2787"/>
      <c r="D22" s="2784"/>
      <c r="E22" s="2785"/>
      <c r="F22" s="2366"/>
      <c r="G22" s="58"/>
      <c r="H22" s="58"/>
      <c r="I22" s="58"/>
      <c r="J22" s="190" t="s">
        <v>855</v>
      </c>
      <c r="K22" s="2767"/>
      <c r="L22" s="369"/>
      <c r="M22" s="158"/>
      <c r="N22" s="159"/>
      <c r="O22" s="684"/>
      <c r="P22" s="369"/>
      <c r="Q22" s="158"/>
      <c r="R22" s="158"/>
      <c r="S22" s="158"/>
      <c r="T22" s="158"/>
      <c r="U22" s="159"/>
      <c r="V22" s="2932"/>
      <c r="W22" s="369"/>
      <c r="X22" s="158"/>
      <c r="Y22" s="158"/>
      <c r="Z22" s="158"/>
      <c r="AA22" s="158"/>
      <c r="AB22" s="159"/>
      <c r="AC22" s="369"/>
      <c r="AD22" s="159"/>
      <c r="AE22" s="369"/>
      <c r="AF22" s="158"/>
      <c r="AG22" s="159"/>
    </row>
    <row r="23" spans="1:33" ht="13.5" customHeight="1" x14ac:dyDescent="0.25">
      <c r="A23" s="2767"/>
      <c r="B23" s="158"/>
      <c r="C23" s="159"/>
      <c r="D23" s="2784"/>
      <c r="E23" s="2785"/>
      <c r="F23" s="58"/>
      <c r="G23" s="58"/>
      <c r="H23" s="58"/>
      <c r="I23" s="58"/>
      <c r="J23" s="182" t="s">
        <v>856</v>
      </c>
      <c r="K23" s="2767"/>
      <c r="L23" s="369"/>
      <c r="M23" s="158"/>
      <c r="N23" s="3148" t="s">
        <v>816</v>
      </c>
      <c r="O23" s="684"/>
      <c r="P23" s="621"/>
      <c r="Q23" s="617"/>
      <c r="R23" s="617"/>
      <c r="S23" s="617"/>
      <c r="T23" s="617"/>
      <c r="U23" s="361"/>
      <c r="V23" s="684"/>
      <c r="W23" s="621"/>
      <c r="X23" s="617"/>
      <c r="Y23" s="617"/>
      <c r="Z23" s="617"/>
      <c r="AA23" s="617"/>
      <c r="AB23" s="361"/>
      <c r="AC23" s="369"/>
      <c r="AD23" s="159"/>
      <c r="AE23" s="369"/>
      <c r="AF23" s="158"/>
      <c r="AG23" s="3148" t="s">
        <v>816</v>
      </c>
    </row>
    <row r="24" spans="1:33" ht="13.5" customHeight="1" x14ac:dyDescent="0.25">
      <c r="A24" s="2767"/>
      <c r="B24" s="158"/>
      <c r="C24" s="159"/>
      <c r="D24" s="369"/>
      <c r="E24" s="158"/>
      <c r="F24" s="362"/>
      <c r="G24" s="58"/>
      <c r="H24" s="58"/>
      <c r="I24" s="362"/>
      <c r="J24" s="362"/>
      <c r="K24" s="2767"/>
      <c r="L24" s="415"/>
      <c r="M24" s="1632"/>
      <c r="N24" s="3216"/>
      <c r="O24" s="671"/>
      <c r="P24" s="3189" t="s">
        <v>353</v>
      </c>
      <c r="Q24" s="3190"/>
      <c r="R24" s="3191"/>
      <c r="S24" s="3194" t="s">
        <v>816</v>
      </c>
      <c r="T24" s="3190"/>
      <c r="U24" s="3190"/>
      <c r="V24" s="671"/>
      <c r="W24" s="3189" t="s">
        <v>353</v>
      </c>
      <c r="X24" s="3190"/>
      <c r="Y24" s="3191"/>
      <c r="Z24" s="3194" t="s">
        <v>816</v>
      </c>
      <c r="AA24" s="3190"/>
      <c r="AB24" s="3190"/>
      <c r="AC24" s="369"/>
      <c r="AD24" s="159"/>
      <c r="AE24" s="3194" t="s">
        <v>353</v>
      </c>
      <c r="AF24" s="3189"/>
      <c r="AG24" s="2772"/>
    </row>
    <row r="25" spans="1:33" ht="14.25" customHeight="1" thickBot="1" x14ac:dyDescent="0.3">
      <c r="A25" s="2768"/>
      <c r="B25" s="417" t="s">
        <v>836</v>
      </c>
      <c r="C25" s="2344" t="s">
        <v>346</v>
      </c>
      <c r="D25" s="2344" t="s">
        <v>837</v>
      </c>
      <c r="E25" s="2344" t="s">
        <v>346</v>
      </c>
      <c r="F25" s="2344" t="s">
        <v>346</v>
      </c>
      <c r="G25" s="183" t="s">
        <v>347</v>
      </c>
      <c r="H25" s="183" t="s">
        <v>838</v>
      </c>
      <c r="I25" s="183" t="s">
        <v>777</v>
      </c>
      <c r="J25" s="183" t="s">
        <v>346</v>
      </c>
      <c r="K25" s="2768"/>
      <c r="L25" s="3218" t="s">
        <v>353</v>
      </c>
      <c r="M25" s="3219"/>
      <c r="N25" s="3217"/>
      <c r="O25" s="183" t="s">
        <v>346</v>
      </c>
      <c r="P25" s="3192"/>
      <c r="Q25" s="3192"/>
      <c r="R25" s="3193"/>
      <c r="S25" s="3195"/>
      <c r="T25" s="3192"/>
      <c r="U25" s="3192"/>
      <c r="V25" s="183" t="s">
        <v>346</v>
      </c>
      <c r="W25" s="3192"/>
      <c r="X25" s="3192"/>
      <c r="Y25" s="3193"/>
      <c r="Z25" s="3195"/>
      <c r="AA25" s="3192"/>
      <c r="AB25" s="3192"/>
      <c r="AC25" s="2816" t="s">
        <v>346</v>
      </c>
      <c r="AD25" s="2818"/>
      <c r="AE25" s="3197"/>
      <c r="AF25" s="3215"/>
      <c r="AG25" s="3149"/>
    </row>
    <row r="26" spans="1:33" ht="14.25" customHeight="1" thickTop="1" x14ac:dyDescent="0.35">
      <c r="A26" s="419" t="s">
        <v>680</v>
      </c>
      <c r="B26" s="420"/>
      <c r="C26" s="196"/>
      <c r="D26" s="196"/>
      <c r="E26" s="421"/>
      <c r="F26" s="421"/>
      <c r="G26" s="196"/>
      <c r="H26" s="196"/>
      <c r="I26" s="473"/>
      <c r="J26" s="485"/>
      <c r="K26" s="419" t="s">
        <v>680</v>
      </c>
      <c r="L26" s="425"/>
      <c r="M26" s="424"/>
      <c r="N26" s="420"/>
      <c r="O26" s="196"/>
      <c r="P26" s="422"/>
      <c r="Q26" s="422"/>
      <c r="R26" s="420"/>
      <c r="S26" s="421"/>
      <c r="T26" s="426"/>
      <c r="U26" s="427"/>
      <c r="V26" s="196"/>
      <c r="W26" s="422"/>
      <c r="X26" s="422"/>
      <c r="Y26" s="420"/>
      <c r="Z26" s="421"/>
      <c r="AA26" s="426"/>
      <c r="AB26" s="427"/>
      <c r="AC26" s="428"/>
      <c r="AD26" s="427"/>
      <c r="AE26" s="428"/>
      <c r="AF26" s="427"/>
      <c r="AG26" s="423"/>
    </row>
    <row r="27" spans="1:33" ht="14.25" customHeight="1" x14ac:dyDescent="0.35">
      <c r="A27" s="429" t="s">
        <v>681</v>
      </c>
      <c r="B27" s="430"/>
      <c r="C27" s="199"/>
      <c r="D27" s="199"/>
      <c r="E27" s="431"/>
      <c r="F27" s="431"/>
      <c r="G27" s="199"/>
      <c r="H27" s="199"/>
      <c r="I27" s="478"/>
      <c r="J27" s="486"/>
      <c r="K27" s="429" t="s">
        <v>681</v>
      </c>
      <c r="L27" s="435"/>
      <c r="M27" s="434"/>
      <c r="N27" s="430"/>
      <c r="O27" s="199"/>
      <c r="P27" s="432"/>
      <c r="Q27" s="432"/>
      <c r="R27" s="430"/>
      <c r="S27" s="431"/>
      <c r="T27" s="436"/>
      <c r="U27" s="437"/>
      <c r="V27" s="199"/>
      <c r="W27" s="432"/>
      <c r="X27" s="432"/>
      <c r="Y27" s="430"/>
      <c r="Z27" s="431"/>
      <c r="AA27" s="436"/>
      <c r="AB27" s="437"/>
      <c r="AC27" s="438"/>
      <c r="AD27" s="437"/>
      <c r="AE27" s="438"/>
      <c r="AF27" s="437"/>
      <c r="AG27" s="433"/>
    </row>
    <row r="28" spans="1:33" ht="14.25" customHeight="1" x14ac:dyDescent="0.35">
      <c r="A28" s="439">
        <v>3</v>
      </c>
      <c r="B28" s="430"/>
      <c r="C28" s="199"/>
      <c r="D28" s="199"/>
      <c r="E28" s="431"/>
      <c r="F28" s="431"/>
      <c r="G28" s="199"/>
      <c r="H28" s="199"/>
      <c r="I28" s="478"/>
      <c r="J28" s="486"/>
      <c r="K28" s="439">
        <v>3</v>
      </c>
      <c r="L28" s="435"/>
      <c r="M28" s="434"/>
      <c r="N28" s="430"/>
      <c r="O28" s="199"/>
      <c r="P28" s="432"/>
      <c r="Q28" s="432"/>
      <c r="R28" s="430"/>
      <c r="S28" s="431"/>
      <c r="T28" s="436"/>
      <c r="U28" s="437"/>
      <c r="V28" s="199"/>
      <c r="W28" s="432"/>
      <c r="X28" s="432"/>
      <c r="Y28" s="430"/>
      <c r="Z28" s="431"/>
      <c r="AA28" s="436"/>
      <c r="AB28" s="437"/>
      <c r="AC28" s="438"/>
      <c r="AD28" s="437"/>
      <c r="AE28" s="438"/>
      <c r="AF28" s="437"/>
      <c r="AG28" s="433"/>
    </row>
    <row r="29" spans="1:33" ht="14.25" customHeight="1" x14ac:dyDescent="0.35">
      <c r="A29" s="439">
        <v>4</v>
      </c>
      <c r="B29" s="430"/>
      <c r="C29" s="199"/>
      <c r="D29" s="199"/>
      <c r="E29" s="431"/>
      <c r="F29" s="431"/>
      <c r="G29" s="199"/>
      <c r="H29" s="199"/>
      <c r="I29" s="478"/>
      <c r="J29" s="486"/>
      <c r="K29" s="439">
        <v>4</v>
      </c>
      <c r="L29" s="435"/>
      <c r="M29" s="434"/>
      <c r="N29" s="430"/>
      <c r="O29" s="199"/>
      <c r="P29" s="432"/>
      <c r="Q29" s="432"/>
      <c r="R29" s="430"/>
      <c r="S29" s="431"/>
      <c r="T29" s="436"/>
      <c r="U29" s="437"/>
      <c r="V29" s="199"/>
      <c r="W29" s="432"/>
      <c r="X29" s="432"/>
      <c r="Y29" s="430"/>
      <c r="Z29" s="431"/>
      <c r="AA29" s="436"/>
      <c r="AB29" s="437"/>
      <c r="AC29" s="438"/>
      <c r="AD29" s="437"/>
      <c r="AE29" s="438"/>
      <c r="AF29" s="437"/>
      <c r="AG29" s="433"/>
    </row>
    <row r="30" spans="1:33" ht="14.25" customHeight="1" x14ac:dyDescent="0.35">
      <c r="A30" s="439">
        <v>5</v>
      </c>
      <c r="B30" s="430"/>
      <c r="C30" s="199"/>
      <c r="D30" s="199"/>
      <c r="E30" s="431"/>
      <c r="F30" s="431"/>
      <c r="G30" s="199"/>
      <c r="H30" s="199"/>
      <c r="I30" s="478"/>
      <c r="J30" s="486"/>
      <c r="K30" s="439">
        <v>5</v>
      </c>
      <c r="L30" s="435"/>
      <c r="M30" s="434"/>
      <c r="N30" s="430"/>
      <c r="O30" s="199"/>
      <c r="P30" s="432"/>
      <c r="Q30" s="432"/>
      <c r="R30" s="430"/>
      <c r="S30" s="431"/>
      <c r="T30" s="436"/>
      <c r="U30" s="437"/>
      <c r="V30" s="199"/>
      <c r="W30" s="432"/>
      <c r="X30" s="432"/>
      <c r="Y30" s="430"/>
      <c r="Z30" s="431"/>
      <c r="AA30" s="436"/>
      <c r="AB30" s="437"/>
      <c r="AC30" s="438"/>
      <c r="AD30" s="437"/>
      <c r="AE30" s="438"/>
      <c r="AF30" s="437"/>
      <c r="AG30" s="433"/>
    </row>
    <row r="31" spans="1:33" ht="14.25" customHeight="1" x14ac:dyDescent="0.35">
      <c r="A31" s="440">
        <v>6</v>
      </c>
      <c r="B31" s="430"/>
      <c r="C31" s="199"/>
      <c r="D31" s="199"/>
      <c r="E31" s="431"/>
      <c r="F31" s="431"/>
      <c r="G31" s="199"/>
      <c r="H31" s="199"/>
      <c r="I31" s="478"/>
      <c r="J31" s="486"/>
      <c r="K31" s="440">
        <v>6</v>
      </c>
      <c r="L31" s="435"/>
      <c r="M31" s="434"/>
      <c r="N31" s="430"/>
      <c r="O31" s="199"/>
      <c r="P31" s="432"/>
      <c r="Q31" s="432"/>
      <c r="R31" s="430"/>
      <c r="S31" s="431"/>
      <c r="T31" s="436"/>
      <c r="U31" s="437"/>
      <c r="V31" s="199"/>
      <c r="W31" s="432"/>
      <c r="X31" s="432"/>
      <c r="Y31" s="430"/>
      <c r="Z31" s="431"/>
      <c r="AA31" s="436"/>
      <c r="AB31" s="437"/>
      <c r="AC31" s="438"/>
      <c r="AD31" s="437"/>
      <c r="AE31" s="438"/>
      <c r="AF31" s="437"/>
      <c r="AG31" s="433"/>
    </row>
    <row r="32" spans="1:33" ht="14.25" customHeight="1" x14ac:dyDescent="0.35">
      <c r="A32" s="440">
        <v>7</v>
      </c>
      <c r="B32" s="430"/>
      <c r="C32" s="199"/>
      <c r="D32" s="199"/>
      <c r="E32" s="431"/>
      <c r="F32" s="431"/>
      <c r="G32" s="199"/>
      <c r="H32" s="199"/>
      <c r="I32" s="478"/>
      <c r="J32" s="486"/>
      <c r="K32" s="440">
        <v>7</v>
      </c>
      <c r="L32" s="435"/>
      <c r="M32" s="434"/>
      <c r="N32" s="430"/>
      <c r="O32" s="199"/>
      <c r="P32" s="432"/>
      <c r="Q32" s="432"/>
      <c r="R32" s="430"/>
      <c r="S32" s="431"/>
      <c r="T32" s="436"/>
      <c r="U32" s="437"/>
      <c r="V32" s="199"/>
      <c r="W32" s="432"/>
      <c r="X32" s="432"/>
      <c r="Y32" s="430"/>
      <c r="Z32" s="431"/>
      <c r="AA32" s="436"/>
      <c r="AB32" s="437"/>
      <c r="AC32" s="438"/>
      <c r="AD32" s="437"/>
      <c r="AE32" s="438"/>
      <c r="AF32" s="437"/>
      <c r="AG32" s="433"/>
    </row>
    <row r="33" spans="1:33" ht="14.25" customHeight="1" x14ac:dyDescent="0.35">
      <c r="A33" s="440">
        <v>8</v>
      </c>
      <c r="B33" s="430"/>
      <c r="C33" s="199"/>
      <c r="D33" s="199"/>
      <c r="E33" s="431"/>
      <c r="F33" s="431"/>
      <c r="G33" s="199"/>
      <c r="H33" s="199"/>
      <c r="I33" s="478"/>
      <c r="J33" s="486"/>
      <c r="K33" s="440">
        <v>8</v>
      </c>
      <c r="L33" s="435"/>
      <c r="M33" s="434"/>
      <c r="N33" s="430"/>
      <c r="O33" s="199"/>
      <c r="P33" s="432"/>
      <c r="Q33" s="432"/>
      <c r="R33" s="430"/>
      <c r="S33" s="431"/>
      <c r="T33" s="436"/>
      <c r="U33" s="437"/>
      <c r="V33" s="199"/>
      <c r="W33" s="432"/>
      <c r="X33" s="432"/>
      <c r="Y33" s="430"/>
      <c r="Z33" s="431"/>
      <c r="AA33" s="436"/>
      <c r="AB33" s="437"/>
      <c r="AC33" s="438"/>
      <c r="AD33" s="437"/>
      <c r="AE33" s="438"/>
      <c r="AF33" s="437"/>
      <c r="AG33" s="433"/>
    </row>
    <row r="34" spans="1:33" ht="14.25" customHeight="1" x14ac:dyDescent="0.35">
      <c r="A34" s="440">
        <v>9</v>
      </c>
      <c r="B34" s="430"/>
      <c r="C34" s="199"/>
      <c r="D34" s="199"/>
      <c r="E34" s="431"/>
      <c r="F34" s="431"/>
      <c r="G34" s="199"/>
      <c r="H34" s="199"/>
      <c r="I34" s="478"/>
      <c r="J34" s="486"/>
      <c r="K34" s="440">
        <v>9</v>
      </c>
      <c r="L34" s="435"/>
      <c r="M34" s="434"/>
      <c r="N34" s="430"/>
      <c r="O34" s="199"/>
      <c r="P34" s="432"/>
      <c r="Q34" s="432"/>
      <c r="R34" s="430"/>
      <c r="S34" s="431"/>
      <c r="T34" s="436"/>
      <c r="U34" s="437"/>
      <c r="V34" s="199"/>
      <c r="W34" s="432"/>
      <c r="X34" s="432"/>
      <c r="Y34" s="430"/>
      <c r="Z34" s="431"/>
      <c r="AA34" s="436"/>
      <c r="AB34" s="437"/>
      <c r="AC34" s="438"/>
      <c r="AD34" s="437"/>
      <c r="AE34" s="438"/>
      <c r="AF34" s="437"/>
      <c r="AG34" s="433"/>
    </row>
    <row r="35" spans="1:33" ht="14.25" customHeight="1" x14ac:dyDescent="0.35">
      <c r="A35" s="440">
        <v>10</v>
      </c>
      <c r="B35" s="430"/>
      <c r="C35" s="199"/>
      <c r="D35" s="199"/>
      <c r="E35" s="431"/>
      <c r="F35" s="431"/>
      <c r="G35" s="199"/>
      <c r="H35" s="199"/>
      <c r="I35" s="478"/>
      <c r="J35" s="486"/>
      <c r="K35" s="440">
        <v>10</v>
      </c>
      <c r="L35" s="435"/>
      <c r="M35" s="434"/>
      <c r="N35" s="430"/>
      <c r="O35" s="199"/>
      <c r="P35" s="432"/>
      <c r="Q35" s="432"/>
      <c r="R35" s="430"/>
      <c r="S35" s="431"/>
      <c r="T35" s="436"/>
      <c r="U35" s="437"/>
      <c r="V35" s="199"/>
      <c r="W35" s="432"/>
      <c r="X35" s="432"/>
      <c r="Y35" s="430"/>
      <c r="Z35" s="431"/>
      <c r="AA35" s="436"/>
      <c r="AB35" s="437"/>
      <c r="AC35" s="438"/>
      <c r="AD35" s="437"/>
      <c r="AE35" s="438"/>
      <c r="AF35" s="437"/>
      <c r="AG35" s="433"/>
    </row>
    <row r="36" spans="1:33" ht="14.25" customHeight="1" x14ac:dyDescent="0.35">
      <c r="A36" s="441">
        <v>11</v>
      </c>
      <c r="B36" s="430"/>
      <c r="C36" s="199"/>
      <c r="D36" s="199"/>
      <c r="E36" s="431"/>
      <c r="F36" s="431"/>
      <c r="G36" s="199"/>
      <c r="H36" s="199"/>
      <c r="I36" s="478"/>
      <c r="J36" s="486"/>
      <c r="K36" s="441">
        <v>11</v>
      </c>
      <c r="L36" s="435"/>
      <c r="M36" s="434"/>
      <c r="N36" s="430"/>
      <c r="O36" s="199"/>
      <c r="P36" s="432"/>
      <c r="Q36" s="432"/>
      <c r="R36" s="430"/>
      <c r="S36" s="431"/>
      <c r="T36" s="436"/>
      <c r="U36" s="437"/>
      <c r="V36" s="199"/>
      <c r="W36" s="432"/>
      <c r="X36" s="432"/>
      <c r="Y36" s="430"/>
      <c r="Z36" s="431"/>
      <c r="AA36" s="436"/>
      <c r="AB36" s="437"/>
      <c r="AC36" s="438"/>
      <c r="AD36" s="437"/>
      <c r="AE36" s="438"/>
      <c r="AF36" s="437"/>
      <c r="AG36" s="433"/>
    </row>
    <row r="37" spans="1:33" ht="14.25" customHeight="1" x14ac:dyDescent="0.35">
      <c r="A37" s="441">
        <v>12</v>
      </c>
      <c r="B37" s="430"/>
      <c r="C37" s="199"/>
      <c r="D37" s="199"/>
      <c r="E37" s="431"/>
      <c r="F37" s="431"/>
      <c r="G37" s="199"/>
      <c r="H37" s="199"/>
      <c r="I37" s="478"/>
      <c r="J37" s="486"/>
      <c r="K37" s="441">
        <v>12</v>
      </c>
      <c r="L37" s="435"/>
      <c r="M37" s="434"/>
      <c r="N37" s="430"/>
      <c r="O37" s="199"/>
      <c r="P37" s="432"/>
      <c r="Q37" s="432"/>
      <c r="R37" s="430"/>
      <c r="S37" s="431"/>
      <c r="T37" s="436"/>
      <c r="U37" s="437"/>
      <c r="V37" s="199"/>
      <c r="W37" s="432"/>
      <c r="X37" s="432"/>
      <c r="Y37" s="430"/>
      <c r="Z37" s="431"/>
      <c r="AA37" s="436"/>
      <c r="AB37" s="437"/>
      <c r="AC37" s="438"/>
      <c r="AD37" s="437"/>
      <c r="AE37" s="438"/>
      <c r="AF37" s="437"/>
      <c r="AG37" s="433"/>
    </row>
    <row r="38" spans="1:33" ht="14.25" customHeight="1" x14ac:dyDescent="0.35">
      <c r="A38" s="441">
        <v>13</v>
      </c>
      <c r="B38" s="430"/>
      <c r="C38" s="199"/>
      <c r="D38" s="199"/>
      <c r="E38" s="431"/>
      <c r="F38" s="431"/>
      <c r="G38" s="199"/>
      <c r="H38" s="199"/>
      <c r="I38" s="478"/>
      <c r="J38" s="486"/>
      <c r="K38" s="441">
        <v>13</v>
      </c>
      <c r="L38" s="435"/>
      <c r="M38" s="434"/>
      <c r="N38" s="430"/>
      <c r="O38" s="199"/>
      <c r="P38" s="432"/>
      <c r="Q38" s="432"/>
      <c r="R38" s="430"/>
      <c r="S38" s="431"/>
      <c r="T38" s="436"/>
      <c r="U38" s="437"/>
      <c r="V38" s="199"/>
      <c r="W38" s="432"/>
      <c r="X38" s="432"/>
      <c r="Y38" s="430"/>
      <c r="Z38" s="431"/>
      <c r="AA38" s="436"/>
      <c r="AB38" s="437"/>
      <c r="AC38" s="438"/>
      <c r="AD38" s="437"/>
      <c r="AE38" s="438"/>
      <c r="AF38" s="437"/>
      <c r="AG38" s="433"/>
    </row>
    <row r="39" spans="1:33" ht="14.25" customHeight="1" x14ac:dyDescent="0.35">
      <c r="A39" s="441">
        <v>14</v>
      </c>
      <c r="B39" s="430"/>
      <c r="C39" s="199"/>
      <c r="D39" s="199"/>
      <c r="E39" s="431"/>
      <c r="F39" s="431"/>
      <c r="G39" s="199"/>
      <c r="H39" s="199"/>
      <c r="I39" s="478"/>
      <c r="J39" s="486"/>
      <c r="K39" s="441">
        <v>14</v>
      </c>
      <c r="L39" s="435"/>
      <c r="M39" s="434"/>
      <c r="N39" s="430"/>
      <c r="O39" s="199"/>
      <c r="P39" s="432"/>
      <c r="Q39" s="432"/>
      <c r="R39" s="430"/>
      <c r="S39" s="431"/>
      <c r="T39" s="436"/>
      <c r="U39" s="437"/>
      <c r="V39" s="199"/>
      <c r="W39" s="432"/>
      <c r="X39" s="432"/>
      <c r="Y39" s="430"/>
      <c r="Z39" s="431"/>
      <c r="AA39" s="436"/>
      <c r="AB39" s="437"/>
      <c r="AC39" s="438"/>
      <c r="AD39" s="437"/>
      <c r="AE39" s="438"/>
      <c r="AF39" s="437"/>
      <c r="AG39" s="433"/>
    </row>
    <row r="40" spans="1:33" ht="14.25" customHeight="1" x14ac:dyDescent="0.35">
      <c r="A40" s="440">
        <v>15</v>
      </c>
      <c r="B40" s="430"/>
      <c r="C40" s="199"/>
      <c r="D40" s="199"/>
      <c r="E40" s="431"/>
      <c r="F40" s="431"/>
      <c r="G40" s="199"/>
      <c r="H40" s="199"/>
      <c r="I40" s="478"/>
      <c r="J40" s="486"/>
      <c r="K40" s="440">
        <v>15</v>
      </c>
      <c r="L40" s="435"/>
      <c r="M40" s="434"/>
      <c r="N40" s="430"/>
      <c r="O40" s="199"/>
      <c r="P40" s="432"/>
      <c r="Q40" s="432"/>
      <c r="R40" s="430"/>
      <c r="S40" s="431"/>
      <c r="T40" s="436"/>
      <c r="U40" s="437"/>
      <c r="V40" s="199"/>
      <c r="W40" s="432"/>
      <c r="X40" s="432"/>
      <c r="Y40" s="430"/>
      <c r="Z40" s="431"/>
      <c r="AA40" s="436"/>
      <c r="AB40" s="437"/>
      <c r="AC40" s="438"/>
      <c r="AD40" s="437"/>
      <c r="AE40" s="438"/>
      <c r="AF40" s="437"/>
      <c r="AG40" s="433"/>
    </row>
    <row r="41" spans="1:33" x14ac:dyDescent="0.35">
      <c r="P41" s="444"/>
      <c r="Q41" s="444"/>
      <c r="R41" s="444"/>
      <c r="S41" s="147"/>
      <c r="T41" s="147"/>
      <c r="U41" s="147"/>
      <c r="W41" s="444"/>
      <c r="X41" s="444"/>
      <c r="Y41" s="444"/>
      <c r="Z41" s="147"/>
      <c r="AA41" s="147"/>
      <c r="AB41" s="147"/>
      <c r="AC41" s="147"/>
      <c r="AD41" s="147"/>
      <c r="AE41" s="444"/>
      <c r="AF41" s="444"/>
      <c r="AG41" s="444"/>
    </row>
    <row r="42" spans="1:33" x14ac:dyDescent="0.35">
      <c r="P42" s="444"/>
      <c r="Q42" s="444"/>
      <c r="R42" s="444"/>
      <c r="S42" s="147"/>
      <c r="T42" s="147"/>
      <c r="U42" s="147"/>
      <c r="W42" s="444"/>
      <c r="X42" s="444"/>
      <c r="Y42" s="444"/>
      <c r="Z42" s="147"/>
      <c r="AA42" s="147"/>
      <c r="AB42" s="147"/>
      <c r="AC42" s="147"/>
      <c r="AD42" s="147"/>
      <c r="AE42" s="444"/>
      <c r="AF42" s="444"/>
      <c r="AG42" s="444"/>
    </row>
    <row r="43" spans="1:33" x14ac:dyDescent="0.35">
      <c r="P43" s="444"/>
      <c r="Q43" s="444"/>
      <c r="R43" s="444"/>
      <c r="S43" s="147"/>
      <c r="T43" s="147"/>
      <c r="U43" s="147"/>
      <c r="W43" s="444"/>
      <c r="X43" s="444"/>
      <c r="Y43" s="444"/>
      <c r="Z43" s="147"/>
      <c r="AA43" s="147"/>
      <c r="AB43" s="147"/>
      <c r="AC43" s="147"/>
      <c r="AD43" s="147"/>
      <c r="AE43" s="444"/>
      <c r="AF43" s="444"/>
      <c r="AG43" s="444"/>
    </row>
    <row r="44" spans="1:33" x14ac:dyDescent="0.35">
      <c r="P44" s="444"/>
      <c r="Q44" s="444"/>
      <c r="R44" s="444"/>
      <c r="S44" s="147"/>
      <c r="T44" s="147"/>
      <c r="U44" s="147"/>
      <c r="W44" s="444"/>
      <c r="X44" s="444"/>
      <c r="Y44" s="444"/>
      <c r="Z44" s="147"/>
      <c r="AA44" s="147"/>
      <c r="AB44" s="147"/>
      <c r="AC44" s="147"/>
      <c r="AD44" s="147"/>
      <c r="AE44" s="444"/>
      <c r="AF44" s="444"/>
      <c r="AG44" s="444"/>
    </row>
    <row r="45" spans="1:33" x14ac:dyDescent="0.35">
      <c r="P45" s="444"/>
      <c r="Q45" s="444"/>
      <c r="R45" s="444"/>
      <c r="S45" s="147"/>
      <c r="T45" s="147"/>
      <c r="U45" s="147"/>
      <c r="W45" s="444"/>
      <c r="X45" s="444"/>
      <c r="Y45" s="444"/>
      <c r="Z45" s="147"/>
      <c r="AA45" s="147"/>
      <c r="AB45" s="147"/>
      <c r="AC45" s="147"/>
      <c r="AD45" s="147"/>
      <c r="AE45" s="444"/>
      <c r="AF45" s="444"/>
      <c r="AG45" s="444"/>
    </row>
    <row r="46" spans="1:33" x14ac:dyDescent="0.35">
      <c r="P46" s="444"/>
      <c r="Q46" s="444"/>
      <c r="R46" s="444"/>
      <c r="S46" s="147"/>
      <c r="T46" s="147"/>
      <c r="U46" s="147"/>
      <c r="W46" s="444"/>
      <c r="X46" s="444"/>
      <c r="Y46" s="444"/>
      <c r="Z46" s="147"/>
      <c r="AA46" s="147"/>
      <c r="AB46" s="147"/>
      <c r="AC46" s="147"/>
      <c r="AD46" s="147"/>
      <c r="AE46" s="444"/>
      <c r="AF46" s="444"/>
      <c r="AG46" s="444"/>
    </row>
    <row r="47" spans="1:33" x14ac:dyDescent="0.35">
      <c r="P47" s="444"/>
      <c r="Q47" s="444"/>
      <c r="R47" s="444"/>
      <c r="S47" s="147"/>
      <c r="T47" s="147"/>
      <c r="U47" s="147"/>
      <c r="W47" s="444"/>
      <c r="X47" s="444"/>
      <c r="Y47" s="444"/>
      <c r="Z47" s="147"/>
      <c r="AA47" s="147"/>
      <c r="AB47" s="147"/>
      <c r="AC47" s="147"/>
      <c r="AD47" s="147"/>
      <c r="AE47" s="444"/>
      <c r="AF47" s="444"/>
      <c r="AG47" s="444"/>
    </row>
    <row r="48" spans="1:33" x14ac:dyDescent="0.35">
      <c r="P48" s="444"/>
      <c r="Q48" s="444"/>
      <c r="R48" s="444"/>
      <c r="S48" s="147"/>
      <c r="T48" s="147"/>
      <c r="U48" s="147"/>
      <c r="W48" s="444"/>
      <c r="X48" s="444"/>
      <c r="Y48" s="444"/>
      <c r="Z48" s="147"/>
      <c r="AA48" s="147"/>
      <c r="AB48" s="147"/>
      <c r="AC48" s="147"/>
      <c r="AD48" s="147"/>
      <c r="AE48" s="444"/>
      <c r="AF48" s="444"/>
      <c r="AG48" s="444"/>
    </row>
    <row r="49" spans="16:33" x14ac:dyDescent="0.35">
      <c r="P49" s="444"/>
      <c r="Q49" s="444"/>
      <c r="R49" s="444"/>
      <c r="S49" s="147"/>
      <c r="T49" s="147"/>
      <c r="U49" s="147"/>
      <c r="W49" s="444"/>
      <c r="X49" s="444"/>
      <c r="Y49" s="444"/>
      <c r="Z49" s="147"/>
      <c r="AA49" s="147"/>
      <c r="AB49" s="147"/>
      <c r="AC49" s="147"/>
      <c r="AD49" s="147"/>
      <c r="AE49" s="444"/>
      <c r="AF49" s="444"/>
      <c r="AG49" s="444"/>
    </row>
    <row r="50" spans="16:33" x14ac:dyDescent="0.35">
      <c r="P50" s="444"/>
      <c r="Q50" s="444"/>
      <c r="R50" s="444"/>
      <c r="S50" s="147"/>
      <c r="T50" s="147"/>
      <c r="U50" s="147"/>
      <c r="W50" s="444"/>
      <c r="X50" s="444"/>
      <c r="Y50" s="444"/>
      <c r="Z50" s="147"/>
      <c r="AA50" s="147"/>
      <c r="AB50" s="147"/>
      <c r="AC50" s="147"/>
      <c r="AD50" s="147"/>
      <c r="AE50" s="444"/>
      <c r="AF50" s="444"/>
      <c r="AG50" s="444"/>
    </row>
    <row r="51" spans="16:33" x14ac:dyDescent="0.35">
      <c r="P51" s="444"/>
      <c r="Q51" s="444"/>
      <c r="R51" s="444"/>
      <c r="S51" s="147"/>
      <c r="T51" s="147"/>
      <c r="U51" s="147"/>
      <c r="W51" s="444"/>
      <c r="X51" s="444"/>
      <c r="Y51" s="444"/>
      <c r="Z51" s="147"/>
      <c r="AA51" s="147"/>
      <c r="AB51" s="147"/>
      <c r="AC51" s="147"/>
      <c r="AD51" s="147"/>
      <c r="AE51" s="444"/>
      <c r="AF51" s="444"/>
      <c r="AG51" s="444"/>
    </row>
    <row r="52" spans="16:33" x14ac:dyDescent="0.35">
      <c r="P52" s="444"/>
      <c r="Q52" s="444"/>
      <c r="R52" s="444"/>
      <c r="S52" s="147"/>
      <c r="T52" s="147"/>
      <c r="U52" s="147"/>
      <c r="W52" s="444"/>
      <c r="X52" s="444"/>
      <c r="Y52" s="444"/>
      <c r="Z52" s="147"/>
      <c r="AA52" s="147"/>
      <c r="AB52" s="147"/>
      <c r="AC52" s="147"/>
      <c r="AD52" s="147"/>
      <c r="AE52" s="444"/>
      <c r="AF52" s="444"/>
      <c r="AG52" s="444"/>
    </row>
    <row r="53" spans="16:33" x14ac:dyDescent="0.35">
      <c r="P53" s="444"/>
      <c r="Q53" s="444"/>
      <c r="R53" s="444"/>
      <c r="S53" s="147"/>
      <c r="T53" s="147"/>
      <c r="U53" s="147"/>
      <c r="W53" s="444"/>
      <c r="X53" s="444"/>
      <c r="Y53" s="444"/>
      <c r="Z53" s="147"/>
      <c r="AA53" s="147"/>
      <c r="AB53" s="147"/>
      <c r="AC53" s="147"/>
      <c r="AD53" s="147"/>
      <c r="AE53" s="444"/>
      <c r="AF53" s="444"/>
      <c r="AG53" s="444"/>
    </row>
    <row r="54" spans="16:33" x14ac:dyDescent="0.35">
      <c r="P54" s="444"/>
      <c r="Q54" s="444"/>
      <c r="R54" s="444"/>
      <c r="S54" s="147"/>
      <c r="T54" s="147"/>
      <c r="U54" s="147"/>
      <c r="W54" s="444"/>
      <c r="X54" s="444"/>
      <c r="Y54" s="444"/>
      <c r="Z54" s="147"/>
      <c r="AA54" s="147"/>
      <c r="AB54" s="147"/>
      <c r="AC54" s="147"/>
      <c r="AD54" s="147"/>
      <c r="AE54" s="444"/>
      <c r="AF54" s="444"/>
      <c r="AG54" s="444"/>
    </row>
    <row r="55" spans="16:33" x14ac:dyDescent="0.35">
      <c r="P55" s="444"/>
      <c r="Q55" s="444"/>
      <c r="R55" s="444"/>
      <c r="S55" s="147"/>
      <c r="T55" s="147"/>
      <c r="U55" s="147"/>
      <c r="W55" s="444"/>
      <c r="X55" s="444"/>
      <c r="Y55" s="444"/>
      <c r="Z55" s="147"/>
      <c r="AA55" s="147"/>
      <c r="AB55" s="147"/>
      <c r="AC55" s="147"/>
      <c r="AD55" s="147"/>
      <c r="AE55" s="444"/>
      <c r="AF55" s="444"/>
      <c r="AG55" s="444"/>
    </row>
    <row r="56" spans="16:33" x14ac:dyDescent="0.35">
      <c r="P56" s="444"/>
      <c r="Q56" s="444"/>
      <c r="R56" s="444"/>
      <c r="S56" s="147"/>
      <c r="T56" s="147"/>
      <c r="U56" s="147"/>
      <c r="W56" s="444"/>
      <c r="X56" s="444"/>
      <c r="Y56" s="444"/>
      <c r="Z56" s="147"/>
      <c r="AA56" s="147"/>
      <c r="AB56" s="147"/>
      <c r="AC56" s="147"/>
      <c r="AD56" s="147"/>
      <c r="AE56" s="444"/>
      <c r="AF56" s="444"/>
      <c r="AG56" s="444"/>
    </row>
    <row r="57" spans="16:33" x14ac:dyDescent="0.35">
      <c r="P57" s="444"/>
      <c r="Q57" s="444"/>
      <c r="R57" s="444"/>
      <c r="S57" s="147"/>
      <c r="T57" s="147"/>
      <c r="U57" s="147"/>
      <c r="W57" s="444"/>
      <c r="X57" s="444"/>
      <c r="Y57" s="444"/>
      <c r="Z57" s="147"/>
      <c r="AA57" s="147"/>
      <c r="AB57" s="147"/>
      <c r="AC57" s="147"/>
      <c r="AD57" s="147"/>
      <c r="AE57" s="444"/>
      <c r="AF57" s="444"/>
      <c r="AG57" s="444"/>
    </row>
    <row r="58" spans="16:33" x14ac:dyDescent="0.35">
      <c r="P58" s="444"/>
      <c r="Q58" s="444"/>
      <c r="R58" s="444"/>
      <c r="S58" s="147"/>
      <c r="T58" s="147"/>
      <c r="U58" s="147"/>
      <c r="W58" s="444"/>
      <c r="X58" s="444"/>
      <c r="Y58" s="444"/>
      <c r="Z58" s="147"/>
      <c r="AA58" s="147"/>
      <c r="AB58" s="147"/>
      <c r="AC58" s="147"/>
      <c r="AD58" s="147"/>
      <c r="AE58" s="444"/>
      <c r="AF58" s="444"/>
      <c r="AG58" s="444"/>
    </row>
    <row r="59" spans="16:33" x14ac:dyDescent="0.35">
      <c r="P59" s="444"/>
      <c r="Q59" s="444"/>
      <c r="R59" s="444"/>
      <c r="S59" s="147"/>
      <c r="T59" s="147"/>
      <c r="U59" s="147"/>
      <c r="W59" s="444"/>
      <c r="X59" s="444"/>
      <c r="Y59" s="444"/>
      <c r="Z59" s="147"/>
      <c r="AA59" s="147"/>
      <c r="AB59" s="147"/>
      <c r="AC59" s="147"/>
      <c r="AD59" s="147"/>
      <c r="AE59" s="444"/>
      <c r="AF59" s="444"/>
      <c r="AG59" s="444"/>
    </row>
    <row r="60" spans="16:33" x14ac:dyDescent="0.35">
      <c r="P60" s="444"/>
      <c r="Q60" s="444"/>
      <c r="R60" s="444"/>
      <c r="S60" s="147"/>
      <c r="T60" s="147"/>
      <c r="U60" s="147"/>
      <c r="W60" s="444"/>
      <c r="X60" s="444"/>
      <c r="Y60" s="444"/>
      <c r="Z60" s="147"/>
      <c r="AA60" s="147"/>
      <c r="AB60" s="147"/>
      <c r="AC60" s="147"/>
      <c r="AD60" s="147"/>
      <c r="AE60" s="444"/>
      <c r="AF60" s="444"/>
      <c r="AG60" s="444"/>
    </row>
    <row r="61" spans="16:33" x14ac:dyDescent="0.35">
      <c r="P61" s="444"/>
      <c r="Q61" s="444"/>
      <c r="R61" s="444"/>
      <c r="S61" s="147"/>
      <c r="T61" s="147"/>
      <c r="U61" s="147"/>
      <c r="W61" s="444"/>
      <c r="X61" s="444"/>
      <c r="Y61" s="444"/>
      <c r="Z61" s="147"/>
      <c r="AA61" s="147"/>
      <c r="AB61" s="147"/>
      <c r="AC61" s="147"/>
      <c r="AD61" s="147"/>
      <c r="AE61" s="444"/>
      <c r="AF61" s="444"/>
      <c r="AG61" s="444"/>
    </row>
    <row r="62" spans="16:33" x14ac:dyDescent="0.35">
      <c r="P62" s="444"/>
      <c r="Q62" s="444"/>
      <c r="R62" s="444"/>
      <c r="S62" s="147"/>
      <c r="T62" s="147"/>
      <c r="U62" s="147"/>
      <c r="W62" s="444"/>
      <c r="X62" s="444"/>
      <c r="Y62" s="444"/>
      <c r="Z62" s="147"/>
      <c r="AA62" s="147"/>
      <c r="AB62" s="147"/>
      <c r="AC62" s="147"/>
      <c r="AD62" s="147"/>
      <c r="AE62" s="444"/>
      <c r="AF62" s="444"/>
      <c r="AG62" s="444"/>
    </row>
    <row r="63" spans="16:33" x14ac:dyDescent="0.35">
      <c r="P63" s="444"/>
      <c r="Q63" s="444"/>
      <c r="R63" s="444"/>
      <c r="S63" s="147"/>
      <c r="T63" s="147"/>
      <c r="U63" s="147"/>
      <c r="W63" s="444"/>
      <c r="X63" s="444"/>
      <c r="Y63" s="444"/>
      <c r="Z63" s="147"/>
      <c r="AA63" s="147"/>
      <c r="AB63" s="147"/>
      <c r="AC63" s="147"/>
      <c r="AD63" s="147"/>
      <c r="AE63" s="444"/>
      <c r="AF63" s="444"/>
      <c r="AG63" s="444"/>
    </row>
    <row r="64" spans="16:33" x14ac:dyDescent="0.35">
      <c r="P64" s="444"/>
      <c r="Q64" s="444"/>
      <c r="R64" s="444"/>
      <c r="S64" s="147"/>
      <c r="T64" s="147"/>
      <c r="U64" s="147"/>
      <c r="W64" s="444"/>
      <c r="X64" s="444"/>
      <c r="Y64" s="444"/>
      <c r="Z64" s="147"/>
      <c r="AA64" s="147"/>
      <c r="AB64" s="147"/>
      <c r="AC64" s="147"/>
      <c r="AD64" s="147"/>
      <c r="AE64" s="444"/>
      <c r="AF64" s="444"/>
      <c r="AG64" s="444"/>
    </row>
    <row r="65" spans="16:33" x14ac:dyDescent="0.35">
      <c r="P65" s="444"/>
      <c r="Q65" s="444"/>
      <c r="R65" s="444"/>
      <c r="S65" s="147"/>
      <c r="T65" s="147"/>
      <c r="U65" s="147"/>
      <c r="W65" s="444"/>
      <c r="X65" s="444"/>
      <c r="Y65" s="444"/>
      <c r="Z65" s="147"/>
      <c r="AA65" s="147"/>
      <c r="AB65" s="147"/>
      <c r="AC65" s="147"/>
      <c r="AD65" s="147"/>
      <c r="AE65" s="444"/>
      <c r="AF65" s="444"/>
      <c r="AG65" s="444"/>
    </row>
    <row r="66" spans="16:33" x14ac:dyDescent="0.35">
      <c r="P66" s="444"/>
      <c r="Q66" s="444"/>
      <c r="R66" s="444"/>
      <c r="S66" s="147"/>
      <c r="T66" s="147"/>
      <c r="U66" s="147"/>
      <c r="W66" s="444"/>
      <c r="X66" s="444"/>
      <c r="Y66" s="444"/>
      <c r="Z66" s="147"/>
      <c r="AA66" s="147"/>
      <c r="AB66" s="147"/>
      <c r="AC66" s="147"/>
      <c r="AD66" s="147"/>
      <c r="AE66" s="444"/>
      <c r="AF66" s="444"/>
      <c r="AG66" s="444"/>
    </row>
    <row r="67" spans="16:33" x14ac:dyDescent="0.35">
      <c r="P67" s="444"/>
      <c r="Q67" s="444"/>
      <c r="R67" s="444"/>
      <c r="S67" s="147"/>
      <c r="T67" s="147"/>
      <c r="U67" s="147"/>
      <c r="W67" s="444"/>
      <c r="X67" s="444"/>
      <c r="Y67" s="444"/>
      <c r="Z67" s="147"/>
      <c r="AA67" s="147"/>
      <c r="AB67" s="147"/>
      <c r="AC67" s="147"/>
      <c r="AD67" s="147"/>
      <c r="AE67" s="444"/>
      <c r="AF67" s="444"/>
      <c r="AG67" s="444"/>
    </row>
    <row r="68" spans="16:33" x14ac:dyDescent="0.35">
      <c r="P68" s="444"/>
      <c r="Q68" s="444"/>
      <c r="R68" s="444"/>
      <c r="S68" s="147"/>
      <c r="T68" s="147"/>
      <c r="U68" s="147"/>
      <c r="W68" s="444"/>
      <c r="X68" s="444"/>
      <c r="Y68" s="444"/>
      <c r="Z68" s="147"/>
      <c r="AA68" s="147"/>
      <c r="AB68" s="147"/>
      <c r="AC68" s="147"/>
      <c r="AD68" s="147"/>
      <c r="AE68" s="444"/>
      <c r="AF68" s="444"/>
      <c r="AG68" s="444"/>
    </row>
    <row r="69" spans="16:33" x14ac:dyDescent="0.35">
      <c r="P69" s="444"/>
      <c r="Q69" s="444"/>
      <c r="R69" s="444"/>
      <c r="S69" s="147"/>
      <c r="T69" s="147"/>
      <c r="U69" s="147"/>
      <c r="W69" s="444"/>
      <c r="X69" s="444"/>
      <c r="Y69" s="444"/>
      <c r="Z69" s="147"/>
      <c r="AA69" s="147"/>
      <c r="AB69" s="147"/>
      <c r="AC69" s="147"/>
      <c r="AD69" s="147"/>
      <c r="AE69" s="444"/>
      <c r="AF69" s="444"/>
      <c r="AG69" s="444"/>
    </row>
    <row r="70" spans="16:33" x14ac:dyDescent="0.35">
      <c r="P70" s="444"/>
      <c r="Q70" s="444"/>
      <c r="R70" s="444"/>
      <c r="S70" s="147"/>
      <c r="T70" s="147"/>
      <c r="U70" s="147"/>
      <c r="W70" s="444"/>
      <c r="X70" s="444"/>
      <c r="Y70" s="444"/>
      <c r="Z70" s="147"/>
      <c r="AA70" s="147"/>
      <c r="AB70" s="147"/>
      <c r="AC70" s="147"/>
      <c r="AD70" s="147"/>
      <c r="AE70" s="444"/>
      <c r="AF70" s="444"/>
      <c r="AG70" s="444"/>
    </row>
    <row r="71" spans="16:33" x14ac:dyDescent="0.35">
      <c r="P71" s="444"/>
      <c r="Q71" s="444"/>
      <c r="R71" s="444"/>
      <c r="S71" s="147"/>
      <c r="T71" s="147"/>
      <c r="U71" s="147"/>
      <c r="W71" s="444"/>
      <c r="X71" s="444"/>
      <c r="Y71" s="444"/>
      <c r="Z71" s="147"/>
      <c r="AA71" s="147"/>
      <c r="AB71" s="147"/>
      <c r="AC71" s="147"/>
      <c r="AD71" s="147"/>
      <c r="AE71" s="444"/>
      <c r="AF71" s="444"/>
      <c r="AG71" s="444"/>
    </row>
    <row r="72" spans="16:33" x14ac:dyDescent="0.35">
      <c r="P72" s="444"/>
      <c r="Q72" s="444"/>
      <c r="R72" s="444"/>
      <c r="S72" s="147"/>
      <c r="T72" s="147"/>
      <c r="U72" s="147"/>
      <c r="W72" s="444"/>
      <c r="X72" s="444"/>
      <c r="Y72" s="444"/>
      <c r="Z72" s="147"/>
      <c r="AA72" s="147"/>
      <c r="AB72" s="147"/>
      <c r="AC72" s="147"/>
      <c r="AD72" s="147"/>
      <c r="AE72" s="444"/>
      <c r="AF72" s="444"/>
      <c r="AG72" s="444"/>
    </row>
    <row r="73" spans="16:33" x14ac:dyDescent="0.35">
      <c r="P73" s="444"/>
      <c r="Q73" s="444"/>
      <c r="R73" s="444"/>
      <c r="S73" s="147"/>
      <c r="T73" s="147"/>
      <c r="U73" s="147"/>
      <c r="W73" s="444"/>
      <c r="X73" s="444"/>
      <c r="Y73" s="444"/>
      <c r="Z73" s="147"/>
      <c r="AA73" s="147"/>
      <c r="AB73" s="147"/>
      <c r="AC73" s="147"/>
      <c r="AD73" s="147"/>
      <c r="AE73" s="444"/>
      <c r="AF73" s="444"/>
      <c r="AG73" s="444"/>
    </row>
    <row r="74" spans="16:33" x14ac:dyDescent="0.35">
      <c r="P74" s="444"/>
      <c r="Q74" s="444"/>
      <c r="R74" s="444"/>
      <c r="S74" s="147"/>
      <c r="T74" s="147"/>
      <c r="U74" s="147"/>
      <c r="W74" s="444"/>
      <c r="X74" s="444"/>
      <c r="Y74" s="444"/>
      <c r="Z74" s="147"/>
      <c r="AA74" s="147"/>
      <c r="AB74" s="147"/>
      <c r="AC74" s="147"/>
      <c r="AD74" s="147"/>
      <c r="AE74" s="444"/>
      <c r="AF74" s="444"/>
      <c r="AG74" s="444"/>
    </row>
    <row r="75" spans="16:33" x14ac:dyDescent="0.35">
      <c r="P75" s="444"/>
      <c r="Q75" s="444"/>
      <c r="R75" s="444"/>
      <c r="S75" s="147"/>
      <c r="T75" s="147"/>
      <c r="U75" s="147"/>
      <c r="W75" s="444"/>
      <c r="X75" s="444"/>
      <c r="Y75" s="444"/>
      <c r="Z75" s="147"/>
      <c r="AA75" s="147"/>
      <c r="AB75" s="147"/>
      <c r="AC75" s="147"/>
      <c r="AD75" s="147"/>
      <c r="AE75" s="444"/>
      <c r="AF75" s="444"/>
      <c r="AG75" s="444"/>
    </row>
    <row r="76" spans="16:33" x14ac:dyDescent="0.35">
      <c r="P76" s="444"/>
      <c r="Q76" s="444"/>
      <c r="R76" s="444"/>
      <c r="S76" s="147"/>
      <c r="T76" s="147"/>
      <c r="U76" s="147"/>
      <c r="W76" s="444"/>
      <c r="X76" s="444"/>
      <c r="Y76" s="444"/>
      <c r="Z76" s="147"/>
      <c r="AA76" s="147"/>
      <c r="AB76" s="147"/>
      <c r="AC76" s="147"/>
      <c r="AD76" s="147"/>
      <c r="AE76" s="444"/>
      <c r="AF76" s="444"/>
      <c r="AG76" s="444"/>
    </row>
    <row r="77" spans="16:33" x14ac:dyDescent="0.35">
      <c r="P77" s="444"/>
      <c r="Q77" s="444"/>
      <c r="R77" s="444"/>
      <c r="S77" s="147"/>
      <c r="T77" s="147"/>
      <c r="U77" s="147"/>
      <c r="W77" s="444"/>
      <c r="X77" s="444"/>
      <c r="Y77" s="444"/>
      <c r="Z77" s="147"/>
      <c r="AA77" s="147"/>
      <c r="AB77" s="147"/>
      <c r="AC77" s="147"/>
      <c r="AD77" s="147"/>
      <c r="AE77" s="444"/>
      <c r="AF77" s="444"/>
      <c r="AG77" s="444"/>
    </row>
    <row r="78" spans="16:33" x14ac:dyDescent="0.35">
      <c r="P78" s="444"/>
      <c r="Q78" s="444"/>
      <c r="R78" s="444"/>
      <c r="S78" s="147"/>
      <c r="T78" s="147"/>
      <c r="U78" s="147"/>
      <c r="W78" s="444"/>
      <c r="X78" s="444"/>
      <c r="Y78" s="444"/>
      <c r="Z78" s="147"/>
      <c r="AA78" s="147"/>
      <c r="AB78" s="147"/>
      <c r="AC78" s="147"/>
      <c r="AD78" s="147"/>
      <c r="AE78" s="444"/>
      <c r="AF78" s="444"/>
      <c r="AG78" s="444"/>
    </row>
    <row r="79" spans="16:33" x14ac:dyDescent="0.35">
      <c r="P79" s="444"/>
      <c r="Q79" s="444"/>
      <c r="R79" s="444"/>
      <c r="S79" s="147"/>
      <c r="T79" s="147"/>
      <c r="U79" s="147"/>
      <c r="W79" s="444"/>
      <c r="X79" s="444"/>
      <c r="Y79" s="444"/>
      <c r="Z79" s="147"/>
      <c r="AA79" s="147"/>
      <c r="AB79" s="147"/>
      <c r="AC79" s="147"/>
      <c r="AD79" s="147"/>
      <c r="AE79" s="444"/>
      <c r="AF79" s="444"/>
      <c r="AG79" s="444"/>
    </row>
    <row r="80" spans="16:33" x14ac:dyDescent="0.35">
      <c r="P80" s="444"/>
      <c r="Q80" s="444"/>
      <c r="R80" s="444"/>
      <c r="S80" s="147"/>
      <c r="T80" s="147"/>
      <c r="U80" s="147"/>
      <c r="W80" s="444"/>
      <c r="X80" s="444"/>
      <c r="Y80" s="444"/>
      <c r="Z80" s="147"/>
      <c r="AA80" s="147"/>
      <c r="AB80" s="147"/>
      <c r="AC80" s="147"/>
      <c r="AD80" s="147"/>
      <c r="AE80" s="444"/>
      <c r="AF80" s="444"/>
      <c r="AG80" s="444"/>
    </row>
    <row r="81" spans="16:33" x14ac:dyDescent="0.35">
      <c r="P81" s="444"/>
      <c r="Q81" s="444"/>
      <c r="R81" s="444"/>
      <c r="S81" s="147"/>
      <c r="T81" s="147"/>
      <c r="U81" s="147"/>
      <c r="W81" s="444"/>
      <c r="X81" s="444"/>
      <c r="Y81" s="444"/>
      <c r="Z81" s="147"/>
      <c r="AA81" s="147"/>
      <c r="AB81" s="147"/>
      <c r="AC81" s="147"/>
      <c r="AD81" s="147"/>
      <c r="AE81" s="444"/>
      <c r="AF81" s="444"/>
      <c r="AG81" s="444"/>
    </row>
    <row r="82" spans="16:33" x14ac:dyDescent="0.35">
      <c r="P82" s="444"/>
      <c r="Q82" s="444"/>
      <c r="R82" s="444"/>
      <c r="S82" s="147"/>
      <c r="T82" s="147"/>
      <c r="U82" s="147"/>
      <c r="W82" s="444"/>
      <c r="X82" s="444"/>
      <c r="Y82" s="444"/>
      <c r="Z82" s="147"/>
      <c r="AA82" s="147"/>
      <c r="AB82" s="147"/>
      <c r="AC82" s="147"/>
      <c r="AD82" s="147"/>
      <c r="AE82" s="444"/>
      <c r="AF82" s="444"/>
      <c r="AG82" s="444"/>
    </row>
    <row r="83" spans="16:33" x14ac:dyDescent="0.35">
      <c r="P83" s="444"/>
      <c r="Q83" s="444"/>
      <c r="R83" s="444"/>
      <c r="S83" s="147"/>
      <c r="T83" s="147"/>
      <c r="U83" s="147"/>
      <c r="W83" s="444"/>
      <c r="X83" s="444"/>
      <c r="Y83" s="444"/>
      <c r="Z83" s="147"/>
      <c r="AA83" s="147"/>
      <c r="AB83" s="147"/>
      <c r="AC83" s="147"/>
      <c r="AD83" s="147"/>
      <c r="AE83" s="444"/>
      <c r="AF83" s="444"/>
      <c r="AG83" s="444"/>
    </row>
    <row r="84" spans="16:33" x14ac:dyDescent="0.35">
      <c r="P84" s="444"/>
      <c r="Q84" s="444"/>
      <c r="R84" s="444"/>
      <c r="S84" s="147"/>
      <c r="T84" s="147"/>
      <c r="U84" s="147"/>
      <c r="W84" s="444"/>
      <c r="X84" s="444"/>
      <c r="Y84" s="444"/>
      <c r="Z84" s="147"/>
      <c r="AA84" s="147"/>
      <c r="AB84" s="147"/>
      <c r="AC84" s="147"/>
      <c r="AD84" s="147"/>
      <c r="AE84" s="444"/>
      <c r="AF84" s="444"/>
      <c r="AG84" s="444"/>
    </row>
    <row r="85" spans="16:33" x14ac:dyDescent="0.35">
      <c r="P85" s="444"/>
      <c r="Q85" s="444"/>
      <c r="R85" s="444"/>
      <c r="S85" s="147"/>
      <c r="T85" s="147"/>
      <c r="U85" s="147"/>
      <c r="W85" s="444"/>
      <c r="X85" s="444"/>
      <c r="Y85" s="444"/>
      <c r="Z85" s="147"/>
      <c r="AA85" s="147"/>
      <c r="AB85" s="147"/>
      <c r="AC85" s="147"/>
      <c r="AD85" s="147"/>
      <c r="AE85" s="444"/>
      <c r="AF85" s="444"/>
      <c r="AG85" s="444"/>
    </row>
    <row r="86" spans="16:33" x14ac:dyDescent="0.35">
      <c r="P86" s="444"/>
      <c r="Q86" s="444"/>
      <c r="R86" s="444"/>
      <c r="S86" s="147"/>
      <c r="T86" s="147"/>
      <c r="U86" s="147"/>
      <c r="W86" s="444"/>
      <c r="X86" s="444"/>
      <c r="Y86" s="444"/>
      <c r="Z86" s="147"/>
      <c r="AA86" s="147"/>
      <c r="AB86" s="147"/>
      <c r="AC86" s="147"/>
      <c r="AD86" s="147"/>
      <c r="AE86" s="444"/>
      <c r="AF86" s="444"/>
      <c r="AG86" s="444"/>
    </row>
    <row r="87" spans="16:33" x14ac:dyDescent="0.35">
      <c r="P87" s="444"/>
      <c r="Q87" s="444"/>
      <c r="R87" s="444"/>
      <c r="S87" s="147"/>
      <c r="T87" s="147"/>
      <c r="U87" s="147"/>
      <c r="W87" s="444"/>
      <c r="X87" s="444"/>
      <c r="Y87" s="444"/>
      <c r="Z87" s="147"/>
      <c r="AA87" s="147"/>
      <c r="AB87" s="147"/>
      <c r="AC87" s="147"/>
      <c r="AD87" s="147"/>
      <c r="AE87" s="444"/>
      <c r="AF87" s="444"/>
      <c r="AG87" s="444"/>
    </row>
    <row r="88" spans="16:33" x14ac:dyDescent="0.35">
      <c r="P88" s="444"/>
      <c r="Q88" s="444"/>
      <c r="R88" s="444"/>
      <c r="S88" s="147"/>
      <c r="T88" s="147"/>
      <c r="U88" s="147"/>
      <c r="W88" s="444"/>
      <c r="X88" s="444"/>
      <c r="Y88" s="444"/>
      <c r="Z88" s="147"/>
      <c r="AA88" s="147"/>
      <c r="AB88" s="147"/>
      <c r="AC88" s="147"/>
      <c r="AD88" s="147"/>
      <c r="AE88" s="444"/>
      <c r="AF88" s="444"/>
      <c r="AG88" s="444"/>
    </row>
    <row r="89" spans="16:33" x14ac:dyDescent="0.35">
      <c r="P89" s="444"/>
      <c r="Q89" s="444"/>
      <c r="R89" s="444"/>
      <c r="S89" s="147"/>
      <c r="T89" s="147"/>
      <c r="U89" s="147"/>
      <c r="W89" s="444"/>
      <c r="X89" s="444"/>
      <c r="Y89" s="444"/>
      <c r="Z89" s="147"/>
      <c r="AA89" s="147"/>
      <c r="AB89" s="147"/>
      <c r="AC89" s="147"/>
      <c r="AD89" s="147"/>
      <c r="AE89" s="444"/>
      <c r="AF89" s="444"/>
      <c r="AG89" s="444"/>
    </row>
  </sheetData>
  <mergeCells count="42">
    <mergeCell ref="B16:C22"/>
    <mergeCell ref="D16:E23"/>
    <mergeCell ref="L17:N21"/>
    <mergeCell ref="O19:O20"/>
    <mergeCell ref="V21:V22"/>
    <mergeCell ref="F15:F17"/>
    <mergeCell ref="V5:V18"/>
    <mergeCell ref="N23:N25"/>
    <mergeCell ref="L25:M25"/>
    <mergeCell ref="P24:R25"/>
    <mergeCell ref="K4:K25"/>
    <mergeCell ref="J20:J21"/>
    <mergeCell ref="F11:F12"/>
    <mergeCell ref="J14:J15"/>
    <mergeCell ref="AG23:AG25"/>
    <mergeCell ref="AC14:AD14"/>
    <mergeCell ref="S24:U25"/>
    <mergeCell ref="W5:AB8"/>
    <mergeCell ref="AC5:AD13"/>
    <mergeCell ref="Q10:U13"/>
    <mergeCell ref="X10:AB13"/>
    <mergeCell ref="Z24:AB25"/>
    <mergeCell ref="AE24:AF25"/>
    <mergeCell ref="AC25:AD25"/>
    <mergeCell ref="AC15:AD17"/>
    <mergeCell ref="W24:Y25"/>
    <mergeCell ref="A4:A25"/>
    <mergeCell ref="P4:R4"/>
    <mergeCell ref="W4:Y4"/>
    <mergeCell ref="AC4:AD4"/>
    <mergeCell ref="AE4:AF4"/>
    <mergeCell ref="B5:C13"/>
    <mergeCell ref="D5:E10"/>
    <mergeCell ref="F5:F8"/>
    <mergeCell ref="G5:G13"/>
    <mergeCell ref="H5:H13"/>
    <mergeCell ref="AE5:AG7"/>
    <mergeCell ref="I5:I12"/>
    <mergeCell ref="J5:J8"/>
    <mergeCell ref="L5:N8"/>
    <mergeCell ref="O5:O17"/>
    <mergeCell ref="P5:U8"/>
  </mergeCells>
  <pageMargins left="0.314" right="0.314" top="0.11799999999999999" bottom="0.27500000000000002" header="0.157" footer="0.11799999999999999"/>
  <pageSetup scale="77" firstPageNumber="22" orientation="landscape" r:id="rId1"/>
  <headerFooter>
    <oddFooter>&amp;C&amp;P</oddFooter>
  </headerFooter>
  <colBreaks count="1" manualBreakCount="1">
    <brk id="10" max="39"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87EA3DE823DC489E44BF4CD2C2AF9F" ma:contentTypeVersion="15" ma:contentTypeDescription="Create a new document." ma:contentTypeScope="" ma:versionID="e25b579e08ff4206b0fd922f187948af">
  <xsd:schema xmlns:xsd="http://www.w3.org/2001/XMLSchema" xmlns:xs="http://www.w3.org/2001/XMLSchema" xmlns:p="http://schemas.microsoft.com/office/2006/metadata/properties" xmlns:ns1="http://schemas.microsoft.com/sharepoint/v3" xmlns:ns3="2834bc84-a818-4cb9-8b4d-5179cfe104eb" xmlns:ns4="543abfbf-1b39-4535-8b1b-c72a4cdaa484" targetNamespace="http://schemas.microsoft.com/office/2006/metadata/properties" ma:root="true" ma:fieldsID="2c89f79ba7f44e4491a7a9f5ca05c867" ns1:_="" ns3:_="" ns4:_="">
    <xsd:import namespace="http://schemas.microsoft.com/sharepoint/v3"/>
    <xsd:import namespace="2834bc84-a818-4cb9-8b4d-5179cfe104eb"/>
    <xsd:import namespace="543abfbf-1b39-4535-8b1b-c72a4cdaa4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1:_ip_UnifiedCompliancePolicyProperties" minOccurs="0"/>
                <xsd:element ref="ns1:_ip_UnifiedCompliancePolicyUIAction" minOccurs="0"/>
                <xsd:element ref="ns3:MediaServiceOCR" minOccurs="0"/>
                <xsd:element ref="ns3:MediaServiceLocation" minOccurs="0"/>
                <xsd:element ref="ns3:MediaServiceAutoKeyPoints" minOccurs="0"/>
                <xsd:element ref="ns3:MediaServiceKeyPoints"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4bc84-a818-4cb9-8b4d-5179cfe104e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3abfbf-1b39-4535-8b1b-c72a4cdaa484"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SharingHintHash" ma:index="2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8865AC-8053-4A0C-9C80-4DB558C0AF80}">
  <ds:schemaRefs>
    <ds:schemaRef ds:uri="http://schemas.microsoft.com/sharepoint/v3/contenttype/forms"/>
  </ds:schemaRefs>
</ds:datastoreItem>
</file>

<file path=customXml/itemProps2.xml><?xml version="1.0" encoding="utf-8"?>
<ds:datastoreItem xmlns:ds="http://schemas.openxmlformats.org/officeDocument/2006/customXml" ds:itemID="{DDC2C922-2F03-4C50-BC0F-8D6274BB25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4bc84-a818-4cb9-8b4d-5179cfe104eb"/>
    <ds:schemaRef ds:uri="543abfbf-1b39-4535-8b1b-c72a4cdaa4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36</vt:i4>
      </vt:variant>
    </vt:vector>
  </HeadingPairs>
  <TitlesOfParts>
    <vt:vector size="78" baseType="lpstr">
      <vt:lpstr>couvert</vt:lpstr>
      <vt:lpstr>TOC</vt:lpstr>
      <vt:lpstr>S0_Cont</vt:lpstr>
      <vt:lpstr>S01_Demo</vt:lpstr>
      <vt:lpstr>S02_Educ</vt:lpstr>
      <vt:lpstr>S03_Sante</vt:lpstr>
      <vt:lpstr>S04_Emploi_A</vt:lpstr>
      <vt:lpstr>S04_Emploi_B</vt:lpstr>
      <vt:lpstr>S04_Emploi_C</vt:lpstr>
      <vt:lpstr>S05_Revenus_Indiv</vt:lpstr>
      <vt:lpstr>S06_Epargne</vt:lpstr>
      <vt:lpstr>S7a_Conso_Re</vt:lpstr>
      <vt:lpstr>S7b_Conso_Al</vt:lpstr>
      <vt:lpstr>S8A_SecAlimentaire_FIES</vt:lpstr>
      <vt:lpstr>S9a__Conso_NA</vt:lpstr>
      <vt:lpstr>S9b__Conso_NA</vt:lpstr>
      <vt:lpstr>S9c__Conso_NA</vt:lpstr>
      <vt:lpstr>S9d___Conso_NA</vt:lpstr>
      <vt:lpstr>S9e__Conso_NA</vt:lpstr>
      <vt:lpstr>S9f__Conso_NA</vt:lpstr>
      <vt:lpstr>S10_Entreprises1 </vt:lpstr>
      <vt:lpstr>S10_Entreprises2</vt:lpstr>
      <vt:lpstr>S11_Logement</vt:lpstr>
      <vt:lpstr>S12_Avoirs</vt:lpstr>
      <vt:lpstr>S13_Transferts</vt:lpstr>
      <vt:lpstr>S14A_Chocs</vt:lpstr>
      <vt:lpstr>S14B_Chocs</vt:lpstr>
      <vt:lpstr>S15_Filet</vt:lpstr>
      <vt:lpstr>S16a_Agri</vt:lpstr>
      <vt:lpstr>S16b_Agri</vt:lpstr>
      <vt:lpstr>S16c_Agri</vt:lpstr>
      <vt:lpstr>S16d_Agri</vt:lpstr>
      <vt:lpstr>S17_Elevage</vt:lpstr>
      <vt:lpstr>S18_Peche</vt:lpstr>
      <vt:lpstr>S19_Equipements</vt:lpstr>
      <vt:lpstr>S20A_PauvreteSubjective</vt:lpstr>
      <vt:lpstr>S20B_Gouvernance</vt:lpstr>
      <vt:lpstr>S20C_Insecurite</vt:lpstr>
      <vt:lpstr>Unites</vt:lpstr>
      <vt:lpstr>Cultures</vt:lpstr>
      <vt:lpstr>Observations</vt:lpstr>
      <vt:lpstr>Variables</vt:lpstr>
      <vt:lpstr>S01_Demo!Print_Area</vt:lpstr>
      <vt:lpstr>S02_Educ!Print_Area</vt:lpstr>
      <vt:lpstr>S04_Emploi_B!Print_Area</vt:lpstr>
      <vt:lpstr>S04_Emploi_C!Print_Area</vt:lpstr>
      <vt:lpstr>S05_Revenus_Indiv!Print_Area</vt:lpstr>
      <vt:lpstr>S06_Epargne!Print_Area</vt:lpstr>
      <vt:lpstr>'S10_Entreprises1 '!Print_Area</vt:lpstr>
      <vt:lpstr>S10_Entreprises2!Print_Area</vt:lpstr>
      <vt:lpstr>S11_Logement!Print_Area</vt:lpstr>
      <vt:lpstr>S12_Avoirs!Print_Area</vt:lpstr>
      <vt:lpstr>S14B_Chocs!Print_Area</vt:lpstr>
      <vt:lpstr>S16a_Agri!Print_Area</vt:lpstr>
      <vt:lpstr>S16b_Agri!Print_Area</vt:lpstr>
      <vt:lpstr>S16c_Agri!Print_Area</vt:lpstr>
      <vt:lpstr>S16d_Agri!Print_Area</vt:lpstr>
      <vt:lpstr>S18_Peche!Print_Area</vt:lpstr>
      <vt:lpstr>S20A_PauvreteSubjective!Print_Area</vt:lpstr>
      <vt:lpstr>S20B_Gouvernance!Print_Area</vt:lpstr>
      <vt:lpstr>S20C_Insecurite!Print_Area</vt:lpstr>
      <vt:lpstr>S8A_SecAlimentaire_FIES!Print_Area</vt:lpstr>
      <vt:lpstr>S9b__Conso_NA!Print_Area</vt:lpstr>
      <vt:lpstr>S9c__Conso_NA!Print_Area</vt:lpstr>
      <vt:lpstr>S9e__Conso_NA!Print_Area</vt:lpstr>
      <vt:lpstr>S9f__Conso_NA!Print_Area</vt:lpstr>
      <vt:lpstr>TOC!Print_Area</vt:lpstr>
      <vt:lpstr>S11_Logement!Print_Titles</vt:lpstr>
      <vt:lpstr>S12_Avoirs!Print_Titles</vt:lpstr>
      <vt:lpstr>S16a_Agri!Print_Titles</vt:lpstr>
      <vt:lpstr>S16c_Agri!Print_Titles</vt:lpstr>
      <vt:lpstr>S16d_Agri!Print_Titles</vt:lpstr>
      <vt:lpstr>S17_Elevage!Print_Titles</vt:lpstr>
      <vt:lpstr>S18_Peche!Print_Titles</vt:lpstr>
      <vt:lpstr>S7b_Conso_Al!Print_Titles</vt:lpstr>
      <vt:lpstr>S9a__Conso_NA!Print_Titles</vt:lpstr>
      <vt:lpstr>S9e__Conso_NA!Print_Titles</vt:lpstr>
      <vt:lpstr>S9f__Conso_NA!Print_Titles</vt:lpstr>
    </vt:vector>
  </TitlesOfParts>
  <Manager/>
  <Company>INSTAT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Rajemison</dc:creator>
  <cp:keywords/>
  <dc:description/>
  <cp:lastModifiedBy>James Arthur Shaw</cp:lastModifiedBy>
  <cp:revision/>
  <cp:lastPrinted>2021-02-12T07:59:26Z</cp:lastPrinted>
  <dcterms:created xsi:type="dcterms:W3CDTF">2001-08-22T05:46:55Z</dcterms:created>
  <dcterms:modified xsi:type="dcterms:W3CDTF">2021-03-07T00:31:52Z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0x0101007787EA3DE823DC489E44BF4CD2C2AF9F</vt:lpwstr>
  </property>
  <property fmtid="{D5CDD505-2E9C-101B-9397-08002B2CF9AE}" pid="3" name="_ip_UnifiedCompliancePolicyUIAction">
    <vt:lpwstr/>
  </property>
  <property fmtid="{D5CDD505-2E9C-101B-9397-08002B2CF9AE}" pid="4" name="_ip_UnifiedCompliancePolicyProperties">
    <vt:lpwstr/>
  </property>
</Properties>
</file>