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C502F735-EC0C-4AF0-8CF6-D10ABBCBDDA2}" xr6:coauthVersionLast="47" xr6:coauthVersionMax="47" xr10:uidLastSave="{00000000-0000-0000-0000-000000000000}"/>
  <bookViews>
    <workbookView xWindow="28690" yWindow="-110" windowWidth="19420" windowHeight="10300" tabRatio="851" xr2:uid="{F3516D6A-EC28-40DF-9BC6-39873143E270}"/>
  </bookViews>
  <sheets>
    <sheet name="Read me" sheetId="21" r:id="rId1"/>
    <sheet name="Menus déroulants" sheetId="22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23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definedNames>
    <definedName name="_xlnm._FilterDatabase" localSheetId="0" hidden="1">'Read me'!$A$1:$B$5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1" l="1"/>
  <c r="C26" i="8"/>
  <c r="B26" i="8"/>
  <c r="A26" i="8"/>
  <c r="C25" i="8"/>
  <c r="F25" i="8" s="1"/>
  <c r="B25" i="8"/>
  <c r="A25" i="8"/>
  <c r="C24" i="8"/>
  <c r="F24" i="8" s="1"/>
  <c r="B24" i="8"/>
  <c r="A24" i="8"/>
  <c r="C23" i="8"/>
  <c r="B23" i="8"/>
  <c r="B31" i="8"/>
  <c r="D26" i="8"/>
  <c r="F21" i="8"/>
  <c r="F20" i="8"/>
  <c r="C19" i="8"/>
  <c r="B19" i="8"/>
  <c r="F17" i="8"/>
  <c r="E15" i="8" s="1"/>
  <c r="G15" i="8" s="1"/>
  <c r="I15" i="8" s="1"/>
  <c r="F16" i="8"/>
  <c r="A16" i="8"/>
  <c r="B15" i="8"/>
  <c r="F13" i="8"/>
  <c r="F12" i="8"/>
  <c r="F11" i="8"/>
  <c r="F10" i="8"/>
  <c r="C9" i="8"/>
  <c r="B9" i="8"/>
  <c r="F7" i="8"/>
  <c r="F6" i="8"/>
  <c r="F5" i="8"/>
  <c r="E4" i="8"/>
  <c r="G4" i="8" s="1"/>
  <c r="B4" i="8"/>
  <c r="D27" i="6"/>
  <c r="A27" i="6"/>
  <c r="C27" i="6"/>
  <c r="F27" i="6" s="1"/>
  <c r="B27" i="6"/>
  <c r="D26" i="6"/>
  <c r="C26" i="6"/>
  <c r="B26" i="6"/>
  <c r="A26" i="6"/>
  <c r="C25" i="6"/>
  <c r="F25" i="6" s="1"/>
  <c r="B25" i="6"/>
  <c r="A25" i="6"/>
  <c r="C24" i="6"/>
  <c r="F24" i="6" s="1"/>
  <c r="B24" i="6"/>
  <c r="A24" i="6"/>
  <c r="A16" i="6"/>
  <c r="B32" i="6"/>
  <c r="F21" i="6"/>
  <c r="F20" i="6"/>
  <c r="E19" i="6" s="1"/>
  <c r="G19" i="6" s="1"/>
  <c r="I19" i="6" s="1"/>
  <c r="C19" i="6"/>
  <c r="B19" i="6"/>
  <c r="F17" i="6"/>
  <c r="F16" i="6"/>
  <c r="B15" i="6"/>
  <c r="F13" i="6"/>
  <c r="F12" i="6"/>
  <c r="F11" i="6"/>
  <c r="F10" i="6"/>
  <c r="E9" i="6" s="1"/>
  <c r="G9" i="6" s="1"/>
  <c r="I9" i="6" s="1"/>
  <c r="C9" i="6"/>
  <c r="B9" i="6"/>
  <c r="F7" i="6"/>
  <c r="F6" i="6"/>
  <c r="F5" i="6"/>
  <c r="E4" i="6"/>
  <c r="G4" i="6" s="1"/>
  <c r="B4" i="6"/>
  <c r="D27" i="4"/>
  <c r="C27" i="4"/>
  <c r="F27" i="4" s="1"/>
  <c r="B27" i="4"/>
  <c r="A27" i="4"/>
  <c r="C26" i="4"/>
  <c r="B26" i="4"/>
  <c r="A26" i="4"/>
  <c r="C25" i="4"/>
  <c r="F25" i="4" s="1"/>
  <c r="B25" i="4"/>
  <c r="A25" i="4"/>
  <c r="C24" i="4"/>
  <c r="B24" i="4"/>
  <c r="A24" i="4"/>
  <c r="B32" i="4"/>
  <c r="F21" i="4"/>
  <c r="F20" i="4"/>
  <c r="E19" i="4" s="1"/>
  <c r="G19" i="4" s="1"/>
  <c r="I19" i="4" s="1"/>
  <c r="C19" i="4"/>
  <c r="B19" i="4"/>
  <c r="F17" i="4"/>
  <c r="F16" i="4"/>
  <c r="C15" i="4"/>
  <c r="B15" i="4"/>
  <c r="F13" i="4"/>
  <c r="F12" i="4"/>
  <c r="F11" i="4"/>
  <c r="F10" i="4"/>
  <c r="E9" i="4" s="1"/>
  <c r="G9" i="4" s="1"/>
  <c r="I9" i="4" s="1"/>
  <c r="C9" i="4"/>
  <c r="B9" i="4"/>
  <c r="F7" i="4"/>
  <c r="F6" i="4"/>
  <c r="F5" i="4"/>
  <c r="E4" i="4"/>
  <c r="G4" i="4" s="1"/>
  <c r="B4" i="4"/>
  <c r="C26" i="2"/>
  <c r="F26" i="2" s="1"/>
  <c r="B26" i="2"/>
  <c r="A26" i="2"/>
  <c r="C25" i="2"/>
  <c r="F25" i="2" s="1"/>
  <c r="B25" i="2"/>
  <c r="A25" i="2"/>
  <c r="A27" i="2"/>
  <c r="D27" i="2"/>
  <c r="B27" i="2"/>
  <c r="C27" i="2"/>
  <c r="F27" i="2" s="1"/>
  <c r="C24" i="2"/>
  <c r="F24" i="2" s="1"/>
  <c r="B24" i="2"/>
  <c r="A24" i="2"/>
  <c r="A11" i="12"/>
  <c r="F21" i="2"/>
  <c r="F20" i="2"/>
  <c r="E19" i="2" s="1"/>
  <c r="G19" i="2" s="1"/>
  <c r="I19" i="2" s="1"/>
  <c r="F17" i="2"/>
  <c r="E15" i="2" s="1"/>
  <c r="G15" i="2" s="1"/>
  <c r="I15" i="2" s="1"/>
  <c r="F16" i="2"/>
  <c r="C19" i="2"/>
  <c r="B19" i="2"/>
  <c r="B32" i="2"/>
  <c r="C15" i="2"/>
  <c r="B15" i="2"/>
  <c r="F7" i="2"/>
  <c r="F6" i="2"/>
  <c r="F5" i="2"/>
  <c r="F13" i="2"/>
  <c r="F12" i="2"/>
  <c r="F11" i="2"/>
  <c r="E9" i="2" s="1"/>
  <c r="G9" i="2" s="1"/>
  <c r="I9" i="2" s="1"/>
  <c r="F10" i="2"/>
  <c r="B9" i="2"/>
  <c r="C9" i="2"/>
  <c r="B4" i="2"/>
  <c r="F11" i="21"/>
  <c r="B4" i="23"/>
  <c r="F22" i="23"/>
  <c r="D22" i="23"/>
  <c r="C22" i="23"/>
  <c r="B22" i="23"/>
  <c r="B12" i="23" s="1"/>
  <c r="A22" i="23"/>
  <c r="A20" i="23"/>
  <c r="B37" i="23"/>
  <c r="C32" i="23"/>
  <c r="C31" i="23"/>
  <c r="C28" i="23"/>
  <c r="C25" i="23"/>
  <c r="E24" i="23"/>
  <c r="C24" i="23"/>
  <c r="B24" i="23"/>
  <c r="C20" i="23"/>
  <c r="C15" i="23"/>
  <c r="C13" i="23"/>
  <c r="E10" i="23"/>
  <c r="E4" i="23" s="1"/>
  <c r="G4" i="23" s="1"/>
  <c r="C10" i="23"/>
  <c r="C7" i="23"/>
  <c r="C6" i="23"/>
  <c r="C5" i="23"/>
  <c r="C4" i="23" s="1"/>
  <c r="E20" i="14"/>
  <c r="A9" i="12"/>
  <c r="A12" i="12"/>
  <c r="E14" i="12"/>
  <c r="G14" i="12" s="1"/>
  <c r="I14" i="12" s="1"/>
  <c r="B37" i="12"/>
  <c r="B35" i="14"/>
  <c r="B21" i="16"/>
  <c r="B34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B14" i="12"/>
  <c r="B9" i="12"/>
  <c r="C4" i="12"/>
  <c r="E4" i="12" s="1"/>
  <c r="B4" i="12"/>
  <c r="C23" i="4" l="1"/>
  <c r="B23" i="4"/>
  <c r="B29" i="4" s="1"/>
  <c r="C12" i="23"/>
  <c r="F24" i="4"/>
  <c r="C23" i="2"/>
  <c r="C29" i="2" s="1"/>
  <c r="E9" i="8"/>
  <c r="G9" i="8" s="1"/>
  <c r="I9" i="8" s="1"/>
  <c r="E19" i="8"/>
  <c r="G19" i="8" s="1"/>
  <c r="I19" i="8" s="1"/>
  <c r="B28" i="8"/>
  <c r="C28" i="8"/>
  <c r="I4" i="8"/>
  <c r="F26" i="8"/>
  <c r="C23" i="6"/>
  <c r="B23" i="6"/>
  <c r="B29" i="6" s="1"/>
  <c r="C29" i="6"/>
  <c r="I4" i="6"/>
  <c r="F26" i="6"/>
  <c r="E23" i="6" s="1"/>
  <c r="G23" i="6" s="1"/>
  <c r="E15" i="6"/>
  <c r="G15" i="6" s="1"/>
  <c r="I15" i="6" s="1"/>
  <c r="C29" i="4"/>
  <c r="I4" i="4"/>
  <c r="F26" i="4"/>
  <c r="E23" i="4" s="1"/>
  <c r="G23" i="4" s="1"/>
  <c r="I23" i="4" s="1"/>
  <c r="E15" i="4"/>
  <c r="G15" i="4" s="1"/>
  <c r="I15" i="4" s="1"/>
  <c r="E23" i="2"/>
  <c r="G23" i="2" s="1"/>
  <c r="I23" i="2" s="1"/>
  <c r="B23" i="2"/>
  <c r="B29" i="2" s="1"/>
  <c r="E4" i="2"/>
  <c r="G4" i="2" s="1"/>
  <c r="E12" i="23"/>
  <c r="G12" i="23" s="1"/>
  <c r="I12" i="23" s="1"/>
  <c r="B34" i="23"/>
  <c r="C34" i="23"/>
  <c r="I4" i="23"/>
  <c r="G24" i="23"/>
  <c r="I24" i="23" s="1"/>
  <c r="B16" i="19"/>
  <c r="B34" i="12"/>
  <c r="C34" i="12"/>
  <c r="G28" i="12"/>
  <c r="I28" i="12" s="1"/>
  <c r="G4" i="12"/>
  <c r="I4" i="12" s="1"/>
  <c r="I23" i="6" l="1"/>
  <c r="B33" i="6" s="1"/>
  <c r="B30" i="6"/>
  <c r="E23" i="8"/>
  <c r="G23" i="8" s="1"/>
  <c r="B31" i="6"/>
  <c r="C11" i="21" s="1"/>
  <c r="B30" i="4"/>
  <c r="B31" i="4" s="1"/>
  <c r="B11" i="21" s="1"/>
  <c r="B33" i="4"/>
  <c r="I4" i="2"/>
  <c r="B30" i="2"/>
  <c r="B31" i="2" s="1"/>
  <c r="A11" i="21" s="1"/>
  <c r="B33" i="2"/>
  <c r="B35" i="23"/>
  <c r="B36" i="23"/>
  <c r="E11" i="21" s="1"/>
  <c r="B38" i="23"/>
  <c r="B38" i="12"/>
  <c r="B35" i="12"/>
  <c r="B36" i="12" s="1"/>
  <c r="B16" i="21" l="1"/>
  <c r="I23" i="8"/>
  <c r="B32" i="8" s="1"/>
  <c r="B29" i="8"/>
  <c r="B30" i="8" s="1"/>
  <c r="D11" i="21" s="1"/>
  <c r="B15" i="21" s="1"/>
  <c r="A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I21" i="18" s="1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I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I14" i="14" s="1"/>
  <c r="C14" i="14"/>
  <c r="B14" i="14"/>
  <c r="F12" i="14"/>
  <c r="C4" i="14"/>
  <c r="B4" i="14"/>
  <c r="C13" i="21" l="1"/>
  <c r="E4" i="18"/>
  <c r="G4" i="18" s="1"/>
  <c r="I4" i="18" s="1"/>
  <c r="G7" i="19"/>
  <c r="I7" i="19" s="1"/>
  <c r="C13" i="19"/>
  <c r="G4" i="19"/>
  <c r="I4" i="19" s="1"/>
  <c r="G11" i="18"/>
  <c r="I11" i="18" s="1"/>
  <c r="E4" i="16"/>
  <c r="G4" i="16" s="1"/>
  <c r="I4" i="16" s="1"/>
  <c r="G15" i="16"/>
  <c r="I15" i="16" s="1"/>
  <c r="G8" i="16"/>
  <c r="C18" i="16"/>
  <c r="G4" i="14"/>
  <c r="I4" i="14" s="1"/>
  <c r="B36" i="14" s="1"/>
  <c r="B35" i="18" l="1"/>
  <c r="B19" i="16"/>
  <c r="B20" i="16" s="1"/>
  <c r="H11" i="21" s="1"/>
  <c r="I8" i="16"/>
  <c r="B22" i="16" s="1"/>
  <c r="E13" i="21"/>
  <c r="B32" i="18"/>
  <c r="B33" i="18" s="1"/>
  <c r="I11" i="21" s="1"/>
  <c r="B17" i="19"/>
  <c r="B14" i="19"/>
  <c r="B33" i="14"/>
  <c r="B34" i="14" s="1"/>
  <c r="G11" i="21" s="1"/>
  <c r="B17" i="21" s="1"/>
  <c r="B19" i="21" l="1"/>
  <c r="B20" i="21" s="1"/>
  <c r="G13" i="21"/>
  <c r="B15" i="19"/>
  <c r="J11" i="21" s="1"/>
  <c r="I13" i="21" s="1"/>
</calcChain>
</file>

<file path=xl/sharedStrings.xml><?xml version="1.0" encoding="utf-8"?>
<sst xmlns="http://schemas.openxmlformats.org/spreadsheetml/2006/main" count="800" uniqueCount="318">
  <si>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</si>
  <si>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</si>
  <si>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</si>
  <si>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</si>
  <si>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</si>
  <si>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</si>
  <si>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</si>
  <si>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</si>
  <si>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</si>
  <si>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</si>
  <si>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</si>
  <si>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</si>
  <si>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</si>
  <si>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</si>
  <si>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</si>
  <si>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</si>
  <si>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</si>
  <si>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</si>
  <si>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</si>
  <si>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</si>
  <si>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</si>
  <si>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</si>
  <si>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</si>
  <si>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</si>
  <si>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</si>
  <si>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</si>
  <si>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</si>
  <si>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</si>
  <si>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</si>
  <si>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</si>
  <si>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</si>
  <si>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</si>
  <si>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</si>
  <si>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</si>
  <si>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</si>
  <si>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</si>
  <si>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</si>
  <si>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</si>
  <si>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</si>
  <si>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</si>
  <si>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</si>
  <si>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</si>
  <si>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</si>
  <si>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</si>
  <si>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</si>
  <si>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</si>
  <si>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</si>
  <si>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</si>
  <si>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</si>
  <si>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</si>
  <si>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</si>
  <si>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</si>
  <si>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</si>
  <si>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</si>
  <si>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</si>
  <si>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</si>
  <si>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</si>
  <si>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</si>
  <si>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</si>
  <si>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</si>
  <si>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</si>
  <si>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</si>
  <si>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</si>
  <si>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</si>
  <si>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</si>
  <si>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</si>
  <si>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</si>
  <si>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</si>
  <si>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</si>
  <si>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</si>
  <si>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</si>
  <si>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</si>
  <si>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</si>
  <si>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</si>
  <si>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</si>
  <si>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</si>
  <si>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</si>
  <si>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</si>
  <si>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</si>
  <si>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</si>
  <si>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</si>
  <si>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</si>
  <si>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</si>
  <si>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</si>
  <si>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</si>
  <si>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</si>
  <si>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</si>
  <si>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</si>
  <si>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</si>
  <si>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</si>
  <si>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</si>
  <si>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</si>
  <si>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</si>
  <si>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</si>
  <si>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</si>
  <si>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</si>
  <si>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</si>
  <si>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</si>
  <si>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</si>
  <si>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</si>
  <si>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</si>
  <si>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</si>
  <si>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</si>
  <si>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</si>
  <si>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</si>
  <si>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</si>
  <si>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</si>
  <si>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</si>
  <si>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</si>
  <si>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</si>
  <si>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</si>
  <si>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</si>
  <si>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</si>
  <si>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</si>
  <si>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</si>
  <si>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</si>
  <si>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</si>
  <si>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</si>
  <si>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</si>
  <si>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</si>
  <si>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</si>
  <si>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</si>
  <si>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</si>
  <si>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</si>
  <si>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</si>
  <si>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</si>
  <si>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</si>
  <si>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</si>
  <si>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</si>
  <si>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</si>
  <si>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</si>
  <si>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</si>
  <si>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</si>
  <si>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</si>
  <si>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</si>
  <si>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</si>
  <si>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</si>
  <si>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</si>
  <si>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</si>
  <si>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</si>
  <si>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</si>
  <si>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</si>
  <si>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</si>
  <si>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</si>
  <si>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</si>
  <si>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</si>
  <si>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</si>
  <si>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</si>
  <si>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</si>
  <si>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</si>
  <si>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</si>
  <si>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</si>
  <si>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</si>
  <si>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</si>
  <si>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</si>
  <si>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</si>
  <si>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</si>
  <si>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</si>
  <si>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</si>
  <si>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</si>
  <si>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</si>
  <si>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</si>
  <si>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</si>
  <si>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</si>
  <si>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</si>
  <si>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</si>
  <si>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</si>
  <si>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</si>
  <si>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</si>
  <si>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</si>
  <si>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</si>
  <si>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</si>
  <si>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</si>
  <si>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</si>
  <si>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</si>
  <si>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</si>
  <si>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</si>
  <si>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</si>
  <si>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</si>
  <si>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</si>
  <si>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</si>
  <si>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</si>
  <si>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</si>
  <si>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</si>
  <si>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</si>
  <si>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</si>
  <si>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</si>
  <si>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</si>
  <si>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</si>
  <si>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</si>
  <si>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</si>
  <si>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</si>
  <si>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</si>
  <si>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</si>
  <si>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</si>
  <si>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</si>
  <si>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</si>
  <si>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</si>
  <si>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</si>
  <si>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</si>
  <si>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</si>
  <si>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</si>
  <si>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</si>
  <si>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</si>
  <si>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</si>
  <si>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</si>
  <si>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</si>
  <si>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</si>
  <si>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</si>
  <si>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</si>
  <si>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</si>
  <si>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</si>
  <si>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</si>
  <si>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</si>
  <si>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</si>
  <si>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</si>
  <si>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</si>
  <si>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</si>
  <si>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</si>
  <si>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</si>
  <si>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</si>
  <si>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</si>
  <si>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</si>
  <si>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</si>
  <si>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</si>
  <si>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</si>
  <si>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</si>
  <si>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</si>
  <si>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</si>
  <si>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</si>
  <si>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</si>
  <si>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</si>
  <si>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</si>
  <si>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</si>
  <si>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</si>
  <si>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</si>
  <si>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</si>
  <si>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</si>
  <si>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</si>
  <si>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</si>
  <si>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</si>
  <si>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</si>
  <si>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</si>
  <si>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</si>
  <si>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</si>
  <si>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</si>
  <si>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</si>
  <si>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</si>
  <si>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</si>
  <si>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</si>
  <si>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</si>
  <si>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</si>
  <si>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</si>
  <si>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</si>
  <si>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</si>
  <si>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</si>
  <si>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</si>
  <si>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</si>
  <si>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</si>
  <si>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</si>
  <si>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</si>
  <si>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</si>
  <si>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</si>
  <si>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</si>
  <si>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</si>
  <si>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</si>
  <si>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</si>
  <si>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</si>
  <si>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</si>
  <si>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</si>
  <si>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</si>
  <si>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</si>
  <si>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</si>
  <si>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</si>
  <si>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</si>
  <si>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</si>
  <si>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</si>
  <si>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</si>
  <si>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</si>
  <si>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</si>
  <si>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</si>
  <si>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</si>
  <si>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</si>
  <si>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</si>
  <si>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</si>
  <si>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</si>
  <si>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</si>
  <si>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</si>
  <si>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</si>
  <si>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</si>
  <si>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</si>
  <si>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</si>
  <si>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</si>
  <si>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</si>
  <si>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</si>
  <si>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</si>
  <si>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</si>
  <si>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</si>
  <si>
    <t>nombre crédits ECTS validés</t>
  </si>
  <si>
    <t>nombre crédits ECTS encore à valider</t>
  </si>
  <si>
    <t>Mathématiques</t>
  </si>
  <si>
    <t>Physique &amp; Sciences de l'ingénieur</t>
  </si>
  <si>
    <t>Physique</t>
  </si>
  <si>
    <t>Info Algo et développement</t>
  </si>
  <si>
    <t>Culture Numérique</t>
  </si>
  <si>
    <t>Humanité</t>
  </si>
  <si>
    <t>Modules électifs selon cycle</t>
  </si>
  <si>
    <t>Autorisation départ à l'étranger A4 
(sauf UQAC)</t>
  </si>
  <si>
    <t>Autorisation départ à l'étranger A4 
(seulement UQAC)</t>
  </si>
  <si>
    <t>condition remplies pour diplôme?</t>
  </si>
  <si>
    <t>nombre de semaines passées à l'étranger 
(validable par bloc de 4 minimum et au moins 17 au total)</t>
  </si>
  <si>
    <t>stage associatif validé?</t>
  </si>
  <si>
    <t>stage ouvrier validé?</t>
  </si>
  <si>
    <t>heures de club PR validées</t>
  </si>
  <si>
    <t>stage technique validé?</t>
  </si>
  <si>
    <t>stage de fin d'études validé?</t>
  </si>
  <si>
    <t>score TOIEC</t>
  </si>
  <si>
    <t>autre diploome anglais niveau B2 ou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</si>
</sst>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ill="1"/>
    <xf numFmtId="0" fontId="6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9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13656</xdr:colOff>
      <xdr:row>14</xdr:row>
      <xdr:rowOff>6121</xdr:rowOff>
    </xdr:from>
    <xdr:to>
      <xdr:col>15</xdr:col>
      <xdr:colOff>549388</xdr:colOff>
      <xdr:row>29</xdr:row>
      <xdr:rowOff>132205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30"/>
  <sheetViews>
    <sheetView tabSelected="1" zoomScale="93" zoomScaleNormal="85" workbookViewId="0">
      <selection activeCell="D3" sqref="D3"/>
    </sheetView>
  </sheetViews>
  <sheetFormatPr defaultColWidth="10.9453125" defaultRowHeight="14.4" x14ac:dyDescent="0.55000000000000004"/>
  <cols>
    <col min="1" max="1" width="33.472656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277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5" t="s">
        <v>12</v>
      </c>
      <c r="B8" s="25" t="s">
        <v>14</v>
      </c>
      <c r="C8" s="25" t="s">
        <v>15</v>
      </c>
      <c r="D8" s="25" t="s">
        <v>16</v>
      </c>
      <c r="E8" s="25" t="s">
        <v>17</v>
      </c>
      <c r="F8" s="25" t="s">
        <v>18</v>
      </c>
      <c r="G8" s="25" t="s">
        <v>19</v>
      </c>
      <c r="H8" s="25" t="s">
        <v>20</v>
      </c>
      <c r="I8" s="25" t="s">
        <v>21</v>
      </c>
      <c r="J8" s="25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4">
        <f>'Bulletin S1'!B31</f>
        <v>10</v>
      </c>
      <c r="B11" s="24">
        <f>'Bulletin S2'!B31</f>
        <v>10</v>
      </c>
      <c r="C11" s="24">
        <f>'Bulletin S3'!B31</f>
        <v>10</v>
      </c>
      <c r="D11" s="24">
        <f>'Bulletin S4'!B30</f>
        <v>10</v>
      </c>
      <c r="E11" s="24">
        <f>'Bulletin S5'!B36</f>
        <v>10</v>
      </c>
      <c r="F11" s="24">
        <f>'Bulletin S6'!B36</f>
        <v>10</v>
      </c>
      <c r="G11" s="24">
        <f>'Bulletin S7'!B34</f>
        <v>10</v>
      </c>
      <c r="H11" s="24">
        <f>'Bulletin S8'!B20</f>
        <v>10</v>
      </c>
      <c r="I11" s="24">
        <f>'Bulletin S9'!B33</f>
        <v>10</v>
      </c>
      <c r="J11" s="24">
        <f>'Bulletin S10'!B15</f>
        <v>10</v>
      </c>
    </row>
    <row r="12" spans="1:11" x14ac:dyDescent="0.55000000000000004">
      <c r="A12" s="18" t="s">
        <v>13</v>
      </c>
      <c r="B12" s="19"/>
      <c r="C12" s="18" t="s">
        <v>23</v>
      </c>
      <c r="D12" s="19"/>
      <c r="E12" s="18" t="s">
        <v>24</v>
      </c>
      <c r="F12" s="19"/>
      <c r="G12" s="18" t="s">
        <v>25</v>
      </c>
      <c r="H12" s="19"/>
      <c r="I12" s="18" t="s">
        <v>26</v>
      </c>
      <c r="J12" s="19"/>
    </row>
    <row r="13" spans="1:11" x14ac:dyDescent="0.55000000000000004">
      <c r="A13" s="16">
        <f>AVERAGE(A11,B11)</f>
        <v>10</v>
      </c>
      <c r="B13" s="17"/>
      <c r="C13" s="16">
        <f>AVERAGE(C11,D11)</f>
        <v>10</v>
      </c>
      <c r="D13" s="17"/>
      <c r="E13" s="16">
        <f>AVERAGE(E11,F11)</f>
        <v>10</v>
      </c>
      <c r="F13" s="17"/>
      <c r="G13" s="16">
        <f>AVERAGE(G11,H11)</f>
        <v>10</v>
      </c>
      <c r="H13" s="17"/>
      <c r="I13" s="16">
        <f>AVERAGE(I11,J11)</f>
        <v>10</v>
      </c>
      <c r="J13" s="17"/>
      <c r="K13" s="15"/>
    </row>
    <row r="15" spans="1:11" ht="28.8" x14ac:dyDescent="0.55000000000000004">
      <c r="A15" s="20" t="s">
        <v>308</v>
      </c>
      <c r="B15" s="23" t="str">
        <f>IF(D11+E11+F11&gt;=13*3,"OUI","NON")</f>
        <v>NON</v>
      </c>
    </row>
    <row r="16" spans="1:11" ht="28.8" x14ac:dyDescent="0.55000000000000004">
      <c r="A16" s="20" t="s">
        <v>307</v>
      </c>
      <c r="B16" s="23" t="str">
        <f>IF(E11+F11&gt;=26,"OUI","NON")</f>
        <v>NON</v>
      </c>
      <c r="D16" s="15"/>
    </row>
    <row r="17" spans="1:4" x14ac:dyDescent="0.55000000000000004">
      <c r="A17" s="1" t="s">
        <v>289</v>
      </c>
      <c r="B17" s="21" t="str">
        <f>IF(E11+F11+G11+H11&gt;=13*4,"OUI","NON")</f>
        <v>NON</v>
      </c>
      <c r="D17" s="15"/>
    </row>
    <row r="18" spans="1:4" x14ac:dyDescent="0.55000000000000004">
      <c r="A18" s="22"/>
      <c r="B18" s="21"/>
      <c r="D18" s="15"/>
    </row>
    <row r="19" spans="1:4" x14ac:dyDescent="0.55000000000000004">
      <c r="A19" s="1" t="s">
        <v>298</v>
      </c>
      <c r="B19" s="21">
        <f>'Bulletin S1'!B33 + 'Bulletin S2'!B33 + 'Bulletin S3'!B33 + 'Bulletin S4'!B32 + 'Bulletin S5'!B38 + 'Bulletin S6'!B38 + 'Bulletin S7'!B36 + 'Bulletin S8'!B22 + 'Bulletin S9'!B35 + 'Bulletin S10'!B17</f>
        <v>300</v>
      </c>
    </row>
    <row r="20" spans="1:4" x14ac:dyDescent="0.55000000000000004">
      <c r="A20" s="1" t="s">
        <v>299</v>
      </c>
      <c r="B20" s="21">
        <f>300-B19</f>
        <v>0</v>
      </c>
    </row>
    <row r="21" spans="1:4" ht="57.6" x14ac:dyDescent="0.55000000000000004">
      <c r="A21" s="20" t="s">
        <v>310</v>
      </c>
      <c r="B21" s="23">
        <v>0</v>
      </c>
    </row>
    <row r="22" spans="1:4" x14ac:dyDescent="0.55000000000000004">
      <c r="A22" s="1" t="s">
        <v>311</v>
      </c>
      <c r="B22" s="21" t="s">
        <v>235</v>
      </c>
    </row>
    <row r="23" spans="1:4" x14ac:dyDescent="0.55000000000000004">
      <c r="A23" s="1" t="s">
        <v>312</v>
      </c>
      <c r="B23" s="21" t="s">
        <v>235</v>
      </c>
    </row>
    <row r="24" spans="1:4" x14ac:dyDescent="0.55000000000000004">
      <c r="A24" s="1" t="s">
        <v>313</v>
      </c>
      <c r="B24" s="21" t="s">
        <v>235</v>
      </c>
    </row>
    <row r="25" spans="1:4" x14ac:dyDescent="0.55000000000000004">
      <c r="A25" s="1" t="s">
        <v>314</v>
      </c>
      <c r="B25" s="21" t="s">
        <v>235</v>
      </c>
    </row>
    <row r="26" spans="1:4" x14ac:dyDescent="0.55000000000000004">
      <c r="A26" s="1" t="s">
        <v>315</v>
      </c>
      <c r="B26" s="21" t="s">
        <v>235</v>
      </c>
    </row>
    <row r="27" spans="1:4" x14ac:dyDescent="0.55000000000000004">
      <c r="A27" s="1" t="s">
        <v>316</v>
      </c>
      <c r="B27" s="21">
        <v>0</v>
      </c>
    </row>
    <row r="28" spans="1:4" x14ac:dyDescent="0.55000000000000004">
      <c r="A28" s="1" t="s">
        <v>317</v>
      </c>
      <c r="B28" s="21" t="s">
        <v>235</v>
      </c>
    </row>
    <row r="29" spans="1:4" x14ac:dyDescent="0.55000000000000004">
      <c r="A29" s="22"/>
      <c r="B29" s="15"/>
    </row>
    <row r="30" spans="1:4" x14ac:dyDescent="0.55000000000000004">
      <c r="A30" s="1" t="s">
        <v>309</v>
      </c>
      <c r="B30" s="21" t="str">
        <f>IF(AND(B19=300, B21&gt;=17, B22="OUI", B23="OUI", B24="OUI", B25="OUI", B26="OUI", OR(B27&gt;=785,B28="OUI")),"OUI","NON")</f>
        <v>NON</v>
      </c>
      <c r="C30" s="22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295" priority="51" operator="between">
      <formula>10</formula>
      <formula>20</formula>
    </cfRule>
    <cfRule type="cellIs" dxfId="294" priority="52" operator="between">
      <formula>0</formula>
      <formula>10</formula>
    </cfRule>
  </conditionalFormatting>
  <conditionalFormatting sqref="A13:J13">
    <cfRule type="expression" dxfId="293" priority="37">
      <formula>AND(A11&gt;=10, B11&gt;=10)</formula>
    </cfRule>
    <cfRule type="expression" dxfId="292" priority="38">
      <formula>OR(A11&lt;10, B11&lt;10)</formula>
    </cfRule>
  </conditionalFormatting>
  <conditionalFormatting sqref="B15:B18">
    <cfRule type="expression" dxfId="291" priority="31">
      <formula>B15="OUI"</formula>
    </cfRule>
    <cfRule type="expression" dxfId="290" priority="32">
      <formula>B15="NON"</formula>
    </cfRule>
  </conditionalFormatting>
  <conditionalFormatting sqref="B19">
    <cfRule type="expression" dxfId="289" priority="29">
      <formula>B19=300</formula>
    </cfRule>
    <cfRule type="expression" dxfId="288" priority="30">
      <formula>B19&lt;300</formula>
    </cfRule>
  </conditionalFormatting>
  <conditionalFormatting sqref="B20">
    <cfRule type="expression" dxfId="287" priority="27">
      <formula>B20=0</formula>
    </cfRule>
    <cfRule type="expression" dxfId="286" priority="28">
      <formula>B20&gt;0</formula>
    </cfRule>
  </conditionalFormatting>
  <conditionalFormatting sqref="B21">
    <cfRule type="expression" dxfId="285" priority="25">
      <formula>B21&gt;=17</formula>
    </cfRule>
    <cfRule type="expression" dxfId="284" priority="26">
      <formula>B21&lt;17</formula>
    </cfRule>
  </conditionalFormatting>
  <conditionalFormatting sqref="B28">
    <cfRule type="expression" dxfId="283" priority="21">
      <formula>B28="OUI"</formula>
    </cfRule>
    <cfRule type="expression" dxfId="282" priority="22">
      <formula>B28="NON"</formula>
    </cfRule>
  </conditionalFormatting>
  <conditionalFormatting sqref="B27">
    <cfRule type="expression" dxfId="281" priority="23">
      <formula>B27&gt;=785</formula>
    </cfRule>
    <cfRule type="expression" dxfId="280" priority="24">
      <formula>B27&lt;785</formula>
    </cfRule>
  </conditionalFormatting>
  <conditionalFormatting sqref="B30">
    <cfRule type="expression" dxfId="3" priority="3">
      <formula>B30="OUI"</formula>
    </cfRule>
    <cfRule type="expression" dxfId="2" priority="4">
      <formula>B30="NON"</formula>
    </cfRule>
  </conditionalFormatting>
  <conditionalFormatting sqref="B22:B26">
    <cfRule type="expression" dxfId="1" priority="1">
      <formula>B22="OUI"</formula>
    </cfRule>
    <cfRule type="expression" dxfId="0" priority="2">
      <formula>B22="NON"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 B28 B22:B26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33"/>
  <sheetViews>
    <sheetView topLeftCell="A18" workbookViewId="0">
      <selection activeCell="C26" sqref="C26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4" max="4" width="18.578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285</v>
      </c>
      <c r="B1" s="7"/>
    </row>
    <row r="2" spans="1:9" ht="39.6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9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9" x14ac:dyDescent="0.55000000000000004">
      <c r="A15" s="7" t="s">
        <v>303</v>
      </c>
      <c r="B15">
        <f>B16+B17</f>
        <v>75</v>
      </c>
      <c r="C15">
        <v>12.5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9" x14ac:dyDescent="0.55000000000000004">
      <c r="A17" t="s">
        <v>60</v>
      </c>
      <c r="B17">
        <v>45</v>
      </c>
      <c r="C17">
        <v>7.5</v>
      </c>
      <c r="D17" t="s">
        <v>5</v>
      </c>
      <c r="E17">
        <v>10</v>
      </c>
      <c r="F17">
        <f>C17</f>
        <v>7.5</v>
      </c>
    </row>
    <row r="19" spans="1:9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9" x14ac:dyDescent="0.55000000000000004">
      <c r="A23" s="7" t="s">
        <v>306</v>
      </c>
      <c r="B23">
        <f>B24+B25+B26</f>
        <v>90</v>
      </c>
      <c r="C23">
        <f>C24+C26+C25</f>
        <v>15</v>
      </c>
      <c r="D23" t="s">
        <v>193</v>
      </c>
      <c r="E23">
        <f>(E24*F24+E25*F25+E26*F26)/(C23)</f>
        <v>10</v>
      </c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t="str">
        <f>IF('Read me'!B4="CGSI","Math",IF('Read me'!B4="CIR","Communication Web",IF('Read me'!B4="BIOST","Microbiologie",IF('Read me'!B4="CENT"," ",IF('Read me'!B4="EST","Ecologie appliquée",IF('Read me'!B4="BIAST","Ecologie appliquée",IF('Read me'!B4="MECA","Sciences de l'ingénieur compléments","autre")))))))</f>
        <v>Math</v>
      </c>
      <c r="B24">
        <f>IF('Read me'!B4="CGSI",30,IF('Read me'!B4="CIR",30,IF('Read me'!B4="BIOST",30,IF('Read me'!B4="CENT",0,IF('Read me'!B4="EST",30,IF('Read me'!B4="BIAST",30,IF('Read me'!B4="MECA",30,0)))))))</f>
        <v>30</v>
      </c>
      <c r="C24">
        <f>IF('Read me'!B4="CGSI",5,IF('Read me'!B4="CIR",5,IF('Read me'!B4="BIOST",5,IF('Read me'!B4="CENT",0,IF('Read me'!B4="EST",5,IF('Read me'!B4="BIAST",5,IF('Read me'!B4="MECA",5,0)))))))</f>
        <v>5</v>
      </c>
      <c r="D24" t="s">
        <v>5</v>
      </c>
      <c r="E24">
        <v>10</v>
      </c>
      <c r="F24">
        <f>C24</f>
        <v>5</v>
      </c>
    </row>
    <row r="25" spans="1:9" x14ac:dyDescent="0.55000000000000004">
      <c r="A25" t="str">
        <f>IF('Read me'!B4="CGSI","Physique",IF('Read me'!B4="CIR","Python",IF('Read me'!B4="BIOST","Pharmaco-toxicologie",IF('Read me'!B4="CENT"," ",IF('Read me'!B4="EST","Ecotoxicologie",IF('Read me'!B4="BIAST","Agro géné",IF('Read me'!B4="MECA","Mécanique","autre")))))))</f>
        <v>Physique</v>
      </c>
      <c r="B25">
        <f>IF('Read me'!B4="CGSI",30,IF('Read me'!B4="CIR",30,IF('Read me'!B4="BIOST",30,IF('Read me'!B4="CENT",0,IF('Read me'!B4="EST",15,IF('Read me'!B4="BIAST",30,IF('Read me'!B4="MECA",60,0)))))))</f>
        <v>30</v>
      </c>
      <c r="C25">
        <f>IF('Read me'!B4="CGSI",5,IF('Read me'!B4="CIR",5,IF('Read me'!B4="BIOST",5,IF('Read me'!B4="CENT",0,IF('Read me'!B4="EST",2.5,IF('Read me'!B4="BIAST",5,IF('Read me'!B4="MECA",10,0)))))))</f>
        <v>5</v>
      </c>
      <c r="D25" t="s">
        <v>5</v>
      </c>
      <c r="E25">
        <v>10</v>
      </c>
      <c r="F25">
        <f>C25</f>
        <v>5</v>
      </c>
    </row>
    <row r="26" spans="1:9" x14ac:dyDescent="0.55000000000000004">
      <c r="A26" t="str">
        <f>IF('Read me'!B4="CGSI","TIPE robotique",IF('Read me'!B4="CIR","Réseaux",IF('Read me'!B4="BIOST","Physio humaine",IF('Read me'!B4="CENT"," ",IF('Read me'!B4="EST","Projet environnement",IF('Read me'!B4="BIAST","Génétique",IF('Read me'!B4="MECA"," ","autre")))))))</f>
        <v>TIPE robotique</v>
      </c>
      <c r="B26">
        <f>IF('Read me'!B4="CGSI",30,IF('Read me'!B4="CIR",30,IF('Read me'!B4="BIOST",30,IF('Read me'!B4="CENT",0,IF('Read me'!B4="EST",45,IF('Read me'!B4="BIAST",30,IF('Read me'!B4="MECA",0,0)))))))</f>
        <v>30</v>
      </c>
      <c r="C26">
        <f>IF('Read me'!B4="CGSI",5,IF('Read me'!B4="CIR",5,IF('Read me'!B4="BIOST",5,IF('Read me'!B4="CENT",0,IF('Read me'!B4="EST",7.5,IF('Read me'!B4="BIAST",5,IF('Read me'!B4="MECA",0,0)))))))</f>
        <v>5</v>
      </c>
      <c r="D26" t="str">
        <f>IF('Read me'!B4="MECA"," ","note")</f>
        <v>note</v>
      </c>
      <c r="E26">
        <v>10</v>
      </c>
      <c r="F26">
        <f>C26</f>
        <v>5</v>
      </c>
    </row>
    <row r="28" spans="1:9" x14ac:dyDescent="0.55000000000000004">
      <c r="A28" s="7" t="s">
        <v>219</v>
      </c>
      <c r="B28">
        <f>B23+B19+B15+B9+B4</f>
        <v>420</v>
      </c>
      <c r="C28">
        <f>C15+C9+C4+C19+C23</f>
        <v>69</v>
      </c>
    </row>
    <row r="29" spans="1:9" x14ac:dyDescent="0.55000000000000004">
      <c r="A29" s="7" t="s">
        <v>220</v>
      </c>
      <c r="B29" s="13">
        <f>(G4*C4+G9*C9+G15*C15+G19*C19+G23*C23)/C28</f>
        <v>10</v>
      </c>
    </row>
    <row r="30" spans="1:9" x14ac:dyDescent="0.55000000000000004">
      <c r="A30" s="7" t="s">
        <v>221</v>
      </c>
      <c r="B30" s="3">
        <f>ROUND(B29,2)</f>
        <v>10</v>
      </c>
    </row>
    <row r="31" spans="1:9" x14ac:dyDescent="0.55000000000000004">
      <c r="A31" s="7" t="s">
        <v>278</v>
      </c>
      <c r="B31">
        <f>H4+H9+H15+H19+H23</f>
        <v>30</v>
      </c>
    </row>
    <row r="32" spans="1:9" x14ac:dyDescent="0.55000000000000004">
      <c r="A32" s="7" t="s">
        <v>279</v>
      </c>
      <c r="B32">
        <f>I4+I9+I15+I19+I23</f>
        <v>30</v>
      </c>
    </row>
    <row r="33" spans="1:1" x14ac:dyDescent="0.55000000000000004">
      <c r="A33" s="7"/>
    </row>
  </sheetData>
  <conditionalFormatting sqref="B30">
    <cfRule type="expression" dxfId="173" priority="19">
      <formula>B30&gt;11</formula>
    </cfRule>
    <cfRule type="expression" dxfId="172" priority="20">
      <formula>B30&gt;=10</formula>
    </cfRule>
    <cfRule type="expression" dxfId="171" priority="21">
      <formula>B30&lt;10</formula>
    </cfRule>
  </conditionalFormatting>
  <conditionalFormatting sqref="B32">
    <cfRule type="expression" dxfId="170" priority="11">
      <formula>B32=B31</formula>
    </cfRule>
    <cfRule type="expression" dxfId="169" priority="12">
      <formula>B32&lt;B31</formula>
    </cfRule>
  </conditionalFormatting>
  <conditionalFormatting sqref="G4">
    <cfRule type="expression" dxfId="168" priority="28">
      <formula>G4&gt;11</formula>
    </cfRule>
    <cfRule type="expression" dxfId="167" priority="29">
      <formula>G4&gt;=10</formula>
    </cfRule>
    <cfRule type="expression" dxfId="166" priority="30">
      <formula>G4&lt;10</formula>
    </cfRule>
  </conditionalFormatting>
  <conditionalFormatting sqref="G9">
    <cfRule type="expression" dxfId="165" priority="25">
      <formula>G9&gt;11</formula>
    </cfRule>
    <cfRule type="expression" dxfId="164" priority="26">
      <formula>G9&gt;=10</formula>
    </cfRule>
    <cfRule type="expression" dxfId="163" priority="27">
      <formula>G9&lt;10</formula>
    </cfRule>
  </conditionalFormatting>
  <conditionalFormatting sqref="G15">
    <cfRule type="expression" dxfId="162" priority="22">
      <formula>G15&gt;11</formula>
    </cfRule>
    <cfRule type="expression" dxfId="161" priority="23">
      <formula>G15&gt;=10</formula>
    </cfRule>
    <cfRule type="expression" dxfId="160" priority="24">
      <formula>G15&lt;10</formula>
    </cfRule>
  </conditionalFormatting>
  <conditionalFormatting sqref="G19">
    <cfRule type="expression" dxfId="159" priority="4">
      <formula>G19&gt;11</formula>
    </cfRule>
    <cfRule type="expression" dxfId="158" priority="5">
      <formula>G19&gt;=10</formula>
    </cfRule>
    <cfRule type="expression" dxfId="157" priority="6">
      <formula>G19&lt;10</formula>
    </cfRule>
  </conditionalFormatting>
  <conditionalFormatting sqref="G23">
    <cfRule type="expression" dxfId="156" priority="1">
      <formula>G23&gt;11</formula>
    </cfRule>
    <cfRule type="expression" dxfId="155" priority="2">
      <formula>G23&gt;=10</formula>
    </cfRule>
    <cfRule type="expression" dxfId="154" priority="3">
      <formula>G23&lt;10</formula>
    </cfRule>
  </conditionalFormatting>
  <conditionalFormatting sqref="I4">
    <cfRule type="expression" dxfId="153" priority="17">
      <formula>I4=H4</formula>
    </cfRule>
    <cfRule type="expression" dxfId="152" priority="18">
      <formula>I4&lt;H4</formula>
    </cfRule>
  </conditionalFormatting>
  <conditionalFormatting sqref="I9">
    <cfRule type="expression" dxfId="151" priority="15">
      <formula>I9=H9</formula>
    </cfRule>
    <cfRule type="expression" dxfId="150" priority="16">
      <formula>I9&lt;H9</formula>
    </cfRule>
  </conditionalFormatting>
  <conditionalFormatting sqref="I15">
    <cfRule type="expression" dxfId="149" priority="13">
      <formula>I15=H15</formula>
    </cfRule>
    <cfRule type="expression" dxfId="148" priority="14">
      <formula>I15&lt;H15</formula>
    </cfRule>
  </conditionalFormatting>
  <conditionalFormatting sqref="I19">
    <cfRule type="expression" dxfId="147" priority="9">
      <formula>I19=H19</formula>
    </cfRule>
    <cfRule type="expression" dxfId="146" priority="10">
      <formula>I19&lt;H19</formula>
    </cfRule>
  </conditionalFormatting>
  <conditionalFormatting sqref="I23">
    <cfRule type="expression" dxfId="145" priority="7">
      <formula>I23=H23</formula>
    </cfRule>
    <cfRule type="expression" dxfId="144" priority="8">
      <formula>I23&lt;H23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defaultColWidth="10.9453125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275</v>
      </c>
      <c r="B2" t="s">
        <v>128</v>
      </c>
      <c r="C2">
        <v>10</v>
      </c>
      <c r="G2" t="s">
        <v>290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E8FF-BACC-4AC9-A205-46AC401C6E4D}">
  <dimension ref="A1:I38"/>
  <sheetViews>
    <sheetView topLeftCell="A8" zoomScaleNormal="100" workbookViewId="0">
      <selection activeCell="A21" sqref="A21"/>
    </sheetView>
  </sheetViews>
  <sheetFormatPr defaultColWidth="10.9453125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B5+B6+B7+B10</f>
        <v>135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282</v>
      </c>
      <c r="E7">
        <v>10</v>
      </c>
      <c r="F7">
        <v>1</v>
      </c>
    </row>
    <row r="8" spans="1:9" x14ac:dyDescent="0.55000000000000004">
      <c r="D8" t="s">
        <v>281</v>
      </c>
      <c r="E8">
        <v>10</v>
      </c>
      <c r="F8">
        <v>2</v>
      </c>
    </row>
    <row r="9" spans="1:9" x14ac:dyDescent="0.55000000000000004">
      <c r="D9" t="s">
        <v>283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263</v>
      </c>
      <c r="B12">
        <f>B13+B15+B20+B22</f>
        <v>165</v>
      </c>
      <c r="C12">
        <f>C13+C15+C20+C22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261</v>
      </c>
      <c r="E13">
        <v>10</v>
      </c>
      <c r="F13">
        <v>1.5</v>
      </c>
    </row>
    <row r="14" spans="1:9" x14ac:dyDescent="0.55000000000000004">
      <c r="D14" t="s">
        <v>262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264</v>
      </c>
      <c r="E15">
        <v>10</v>
      </c>
      <c r="F15">
        <v>1</v>
      </c>
    </row>
    <row r="16" spans="1:9" x14ac:dyDescent="0.55000000000000004">
      <c r="D16" t="s">
        <v>265</v>
      </c>
      <c r="E16">
        <v>10</v>
      </c>
      <c r="F16">
        <v>1.5</v>
      </c>
    </row>
    <row r="17" spans="1:9" x14ac:dyDescent="0.55000000000000004">
      <c r="D17" t="s">
        <v>266</v>
      </c>
      <c r="E17">
        <v>10</v>
      </c>
      <c r="F17">
        <v>0.375</v>
      </c>
    </row>
    <row r="18" spans="1:9" x14ac:dyDescent="0.55000000000000004">
      <c r="D18" t="s">
        <v>267</v>
      </c>
      <c r="E18">
        <v>10</v>
      </c>
      <c r="F18">
        <v>0.375</v>
      </c>
    </row>
    <row r="19" spans="1:9" x14ac:dyDescent="0.55000000000000004">
      <c r="D19" t="s">
        <v>268</v>
      </c>
      <c r="E19">
        <v>10</v>
      </c>
      <c r="F19">
        <v>0.75</v>
      </c>
    </row>
    <row r="20" spans="1:9" x14ac:dyDescent="0.55000000000000004">
      <c r="A20" t="str">
        <f>IF('Read me'!B4&lt;&gt;"CIR","Algo et langage C","Théorie des graphes")</f>
        <v>Algo et langage C</v>
      </c>
      <c r="B20">
        <v>45</v>
      </c>
      <c r="C20">
        <f>F20+F21</f>
        <v>3</v>
      </c>
      <c r="D20" t="s">
        <v>261</v>
      </c>
      <c r="E20">
        <v>10</v>
      </c>
      <c r="F20">
        <v>2</v>
      </c>
    </row>
    <row r="21" spans="1:9" x14ac:dyDescent="0.55000000000000004">
      <c r="D21" t="s">
        <v>262</v>
      </c>
      <c r="E21">
        <v>10</v>
      </c>
      <c r="F21">
        <v>1</v>
      </c>
    </row>
    <row r="22" spans="1:9" x14ac:dyDescent="0.55000000000000004">
      <c r="A22" t="str">
        <f>IF('Read me'!B4&lt;&gt;"CIR","Linux"," ")</f>
        <v>Linux</v>
      </c>
      <c r="B22">
        <f>IF('Read me'!B4&lt;&gt;"CIR",15,)</f>
        <v>15</v>
      </c>
      <c r="C22">
        <f>IF('Read me'!B4&lt;&gt;"CIR",1,)</f>
        <v>1</v>
      </c>
      <c r="D22" t="str">
        <f>IF('Read me'!B4&lt;&gt;"CIR","note"," ")</f>
        <v>note</v>
      </c>
      <c r="E22">
        <v>10</v>
      </c>
      <c r="F22">
        <f>IF('Read me'!B4&lt;&gt;"CIR",1,)</f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269</v>
      </c>
      <c r="E25">
        <v>10</v>
      </c>
      <c r="F25">
        <v>0.7</v>
      </c>
    </row>
    <row r="26" spans="1:9" x14ac:dyDescent="0.55000000000000004">
      <c r="D26" t="s">
        <v>270</v>
      </c>
      <c r="E26">
        <v>10</v>
      </c>
      <c r="F26">
        <v>1.3</v>
      </c>
    </row>
    <row r="27" spans="1:9" ht="28.8" x14ac:dyDescent="0.55000000000000004">
      <c r="D27" s="12" t="s">
        <v>271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272</v>
      </c>
      <c r="E28">
        <v>10</v>
      </c>
      <c r="F28">
        <v>0.8</v>
      </c>
    </row>
    <row r="29" spans="1:9" x14ac:dyDescent="0.55000000000000004">
      <c r="D29" t="s">
        <v>273</v>
      </c>
      <c r="E29">
        <v>10</v>
      </c>
      <c r="F29">
        <v>0.6</v>
      </c>
    </row>
    <row r="30" spans="1:9" x14ac:dyDescent="0.55000000000000004">
      <c r="D30" t="s">
        <v>274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276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390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278</v>
      </c>
      <c r="B37">
        <f>H4+H12+H24</f>
        <v>30</v>
      </c>
    </row>
    <row r="38" spans="1:3" x14ac:dyDescent="0.55000000000000004">
      <c r="A38" s="7" t="s">
        <v>279</v>
      </c>
      <c r="B38">
        <f>I4+I12+I24</f>
        <v>30</v>
      </c>
    </row>
  </sheetData>
  <conditionalFormatting sqref="B36">
    <cfRule type="expression" dxfId="143" priority="1">
      <formula>B36&gt;11</formula>
    </cfRule>
    <cfRule type="expression" dxfId="142" priority="2">
      <formula>B36&gt;=10</formula>
    </cfRule>
    <cfRule type="expression" dxfId="141" priority="3">
      <formula>B36&lt;10</formula>
    </cfRule>
  </conditionalFormatting>
  <conditionalFormatting sqref="B38">
    <cfRule type="expression" dxfId="140" priority="13">
      <formula>B38=B37</formula>
    </cfRule>
    <cfRule type="expression" dxfId="139" priority="14">
      <formula>B38&lt;B37</formula>
    </cfRule>
  </conditionalFormatting>
  <conditionalFormatting sqref="G4">
    <cfRule type="expression" dxfId="138" priority="10">
      <formula>G4&gt;11</formula>
    </cfRule>
    <cfRule type="expression" dxfId="137" priority="11">
      <formula>G4&gt;=10</formula>
    </cfRule>
    <cfRule type="expression" dxfId="136" priority="12">
      <formula>G4&lt;10</formula>
    </cfRule>
  </conditionalFormatting>
  <conditionalFormatting sqref="G12">
    <cfRule type="expression" dxfId="135" priority="7">
      <formula>G12&gt;11</formula>
    </cfRule>
    <cfRule type="expression" dxfId="134" priority="8">
      <formula>G12&gt;=10</formula>
    </cfRule>
    <cfRule type="expression" dxfId="133" priority="9">
      <formula>G12&lt;10</formula>
    </cfRule>
  </conditionalFormatting>
  <conditionalFormatting sqref="G24">
    <cfRule type="expression" dxfId="132" priority="4">
      <formula>G24&gt;11</formula>
    </cfRule>
    <cfRule type="expression" dxfId="131" priority="5">
      <formula>G24&gt;=10</formula>
    </cfRule>
    <cfRule type="expression" dxfId="130" priority="6">
      <formula>G24&lt;10</formula>
    </cfRule>
  </conditionalFormatting>
  <conditionalFormatting sqref="I4">
    <cfRule type="expression" dxfId="129" priority="19">
      <formula>I4=H4</formula>
    </cfRule>
    <cfRule type="expression" dxfId="128" priority="20">
      <formula>I4&lt;H4</formula>
    </cfRule>
  </conditionalFormatting>
  <conditionalFormatting sqref="I12">
    <cfRule type="expression" dxfId="127" priority="17">
      <formula>I12=H12</formula>
    </cfRule>
    <cfRule type="expression" dxfId="126" priority="18">
      <formula>I12&lt;H12</formula>
    </cfRule>
  </conditionalFormatting>
  <conditionalFormatting sqref="I24">
    <cfRule type="expression" dxfId="125" priority="15">
      <formula>I24=H24</formula>
    </cfRule>
    <cfRule type="expression" dxfId="124" priority="16">
      <formula>I24&lt;H24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opLeftCell="A3" zoomScale="85" zoomScaleNormal="85" workbookViewId="0">
      <selection activeCell="A12" sqref="A12"/>
    </sheetView>
  </sheetViews>
  <sheetFormatPr defaultColWidth="10.9453125" defaultRowHeight="14.4" x14ac:dyDescent="0.55000000000000004"/>
  <cols>
    <col min="1" max="1" width="34.20703125" bestFit="1" customWidth="1"/>
    <col min="2" max="2" width="10.41796875" bestFit="1" customWidth="1"/>
    <col min="3" max="3" width="7.1562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278</v>
      </c>
      <c r="B37">
        <f>H4+H9+H14+H23+H28</f>
        <v>30</v>
      </c>
    </row>
    <row r="38" spans="1:3" x14ac:dyDescent="0.55000000000000004">
      <c r="A38" s="7" t="s">
        <v>279</v>
      </c>
      <c r="B38">
        <f>I4+I9+I14+I23+I28</f>
        <v>30</v>
      </c>
    </row>
  </sheetData>
  <conditionalFormatting sqref="B36">
    <cfRule type="expression" dxfId="123" priority="1">
      <formula>B36&gt;11</formula>
    </cfRule>
    <cfRule type="expression" dxfId="122" priority="2">
      <formula>B36&gt;=10</formula>
    </cfRule>
    <cfRule type="expression" dxfId="121" priority="3">
      <formula>B36&lt;10</formula>
    </cfRule>
  </conditionalFormatting>
  <conditionalFormatting sqref="B38">
    <cfRule type="expression" dxfId="120" priority="19">
      <formula>B38=B37</formula>
    </cfRule>
    <cfRule type="expression" dxfId="119" priority="20">
      <formula>B38&lt;B37</formula>
    </cfRule>
  </conditionalFormatting>
  <conditionalFormatting sqref="G4">
    <cfRule type="expression" dxfId="118" priority="16">
      <formula>G4&gt;11</formula>
    </cfRule>
    <cfRule type="expression" dxfId="117" priority="17">
      <formula>G4&gt;=10</formula>
    </cfRule>
    <cfRule type="expression" dxfId="116" priority="18">
      <formula>G4&lt;10</formula>
    </cfRule>
  </conditionalFormatting>
  <conditionalFormatting sqref="G9">
    <cfRule type="expression" dxfId="115" priority="13">
      <formula>G9&gt;11</formula>
    </cfRule>
    <cfRule type="expression" dxfId="114" priority="14">
      <formula>G9&gt;=10</formula>
    </cfRule>
    <cfRule type="expression" dxfId="113" priority="15">
      <formula>G9&lt;10</formula>
    </cfRule>
  </conditionalFormatting>
  <conditionalFormatting sqref="G14">
    <cfRule type="expression" dxfId="112" priority="10">
      <formula>G14&gt;11</formula>
    </cfRule>
    <cfRule type="expression" dxfId="111" priority="11">
      <formula>G14&gt;=10</formula>
    </cfRule>
    <cfRule type="expression" dxfId="110" priority="12">
      <formula>G14&lt;10</formula>
    </cfRule>
  </conditionalFormatting>
  <conditionalFormatting sqref="G23">
    <cfRule type="expression" dxfId="109" priority="7">
      <formula>G23&gt;11</formula>
    </cfRule>
    <cfRule type="expression" dxfId="108" priority="8">
      <formula>G23&gt;=10</formula>
    </cfRule>
    <cfRule type="expression" dxfId="107" priority="9">
      <formula>G23&lt;10</formula>
    </cfRule>
  </conditionalFormatting>
  <conditionalFormatting sqref="G28">
    <cfRule type="expression" dxfId="106" priority="4">
      <formula>G28&gt;11</formula>
    </cfRule>
    <cfRule type="expression" dxfId="105" priority="5">
      <formula>G28&gt;=10</formula>
    </cfRule>
    <cfRule type="expression" dxfId="104" priority="6">
      <formula>G28&lt;10</formula>
    </cfRule>
  </conditionalFormatting>
  <conditionalFormatting sqref="I4">
    <cfRule type="expression" dxfId="103" priority="29">
      <formula>I4=H4</formula>
    </cfRule>
    <cfRule type="expression" dxfId="102" priority="30">
      <formula>I4&lt;H4</formula>
    </cfRule>
  </conditionalFormatting>
  <conditionalFormatting sqref="I9">
    <cfRule type="expression" dxfId="101" priority="27">
      <formula>I9=H9</formula>
    </cfRule>
    <cfRule type="expression" dxfId="100" priority="28">
      <formula>I9&lt;H9</formula>
    </cfRule>
  </conditionalFormatting>
  <conditionalFormatting sqref="I14">
    <cfRule type="expression" dxfId="99" priority="21">
      <formula>I14=H14</formula>
    </cfRule>
    <cfRule type="expression" dxfId="98" priority="22">
      <formula>I14&lt;H14</formula>
    </cfRule>
  </conditionalFormatting>
  <conditionalFormatting sqref="I23">
    <cfRule type="expression" dxfId="97" priority="25">
      <formula>I23=H23</formula>
    </cfRule>
    <cfRule type="expression" dxfId="96" priority="26">
      <formula>I23&lt;H23</formula>
    </cfRule>
  </conditionalFormatting>
  <conditionalFormatting sqref="I28">
    <cfRule type="expression" dxfId="95" priority="23">
      <formula>I28=H28</formula>
    </cfRule>
    <cfRule type="expression" dxfId="94" priority="24">
      <formula>I28&lt;H28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defaultColWidth="10.9453125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topLeftCell="A12" zoomScale="85" zoomScaleNormal="85" workbookViewId="0">
      <selection activeCell="E26" sqref="E26"/>
    </sheetView>
  </sheetViews>
  <sheetFormatPr defaultColWidth="10.9453125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0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278</v>
      </c>
      <c r="B35">
        <f>H4+H14+H20</f>
        <v>30</v>
      </c>
    </row>
    <row r="36" spans="1:2" x14ac:dyDescent="0.55000000000000004">
      <c r="A36" s="7" t="s">
        <v>279</v>
      </c>
      <c r="B36">
        <f>I4+I14+I20</f>
        <v>30</v>
      </c>
    </row>
  </sheetData>
  <conditionalFormatting sqref="B34">
    <cfRule type="expression" dxfId="93" priority="1">
      <formula>B34&gt;11</formula>
    </cfRule>
    <cfRule type="expression" dxfId="92" priority="2">
      <formula>B34&gt;=10</formula>
    </cfRule>
    <cfRule type="expression" dxfId="91" priority="3">
      <formula>B34&lt;10</formula>
    </cfRule>
  </conditionalFormatting>
  <conditionalFormatting sqref="B36">
    <cfRule type="expression" dxfId="90" priority="13">
      <formula>B36=B35</formula>
    </cfRule>
    <cfRule type="expression" dxfId="89" priority="14">
      <formula>B36&lt;B35</formula>
    </cfRule>
  </conditionalFormatting>
  <conditionalFormatting sqref="G4">
    <cfRule type="expression" dxfId="88" priority="10">
      <formula>G4&gt;11</formula>
    </cfRule>
    <cfRule type="expression" dxfId="87" priority="11">
      <formula>G4&gt;=10</formula>
    </cfRule>
    <cfRule type="expression" dxfId="86" priority="12">
      <formula>G4&lt;10</formula>
    </cfRule>
  </conditionalFormatting>
  <conditionalFormatting sqref="G14">
    <cfRule type="expression" dxfId="85" priority="7">
      <formula>G14&gt;11</formula>
    </cfRule>
    <cfRule type="expression" dxfId="84" priority="8">
      <formula>G14&gt;=10</formula>
    </cfRule>
    <cfRule type="expression" dxfId="83" priority="9">
      <formula>G14&lt;10</formula>
    </cfRule>
  </conditionalFormatting>
  <conditionalFormatting sqref="G20">
    <cfRule type="expression" dxfId="82" priority="4">
      <formula>G20&gt;11</formula>
    </cfRule>
    <cfRule type="expression" dxfId="81" priority="5">
      <formula>G20&gt;=10</formula>
    </cfRule>
    <cfRule type="expression" dxfId="80" priority="6">
      <formula>G20&lt;10</formula>
    </cfRule>
  </conditionalFormatting>
  <conditionalFormatting sqref="I4">
    <cfRule type="expression" dxfId="79" priority="21">
      <formula>I4=H4</formula>
    </cfRule>
    <cfRule type="expression" dxfId="78" priority="22">
      <formula>I4&lt;H4</formula>
    </cfRule>
  </conditionalFormatting>
  <conditionalFormatting sqref="I14">
    <cfRule type="expression" dxfId="77" priority="17">
      <formula>I14=H14</formula>
    </cfRule>
    <cfRule type="expression" dxfId="76" priority="18">
      <formula>I14&lt;H14</formula>
    </cfRule>
  </conditionalFormatting>
  <conditionalFormatting sqref="I20">
    <cfRule type="expression" dxfId="75" priority="15">
      <formula>I20=H20</formula>
    </cfRule>
    <cfRule type="expression" dxfId="74" priority="16">
      <formula>I20&lt;H20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2" zoomScale="85" zoomScaleNormal="85" workbookViewId="0">
      <selection activeCell="E17" sqref="E17"/>
    </sheetView>
  </sheetViews>
  <sheetFormatPr defaultColWidth="10.9453125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6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0</v>
      </c>
      <c r="D13" t="s">
        <v>5</v>
      </c>
      <c r="E13">
        <v>10</v>
      </c>
      <c r="F13">
        <f>C13</f>
        <v>0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27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278</v>
      </c>
      <c r="B21">
        <f>H4+H8+H15</f>
        <v>30</v>
      </c>
    </row>
    <row r="22" spans="1:3" x14ac:dyDescent="0.55000000000000004">
      <c r="A22" s="7" t="s">
        <v>279</v>
      </c>
      <c r="B22">
        <f>I4+I8+I15</f>
        <v>30</v>
      </c>
    </row>
  </sheetData>
  <conditionalFormatting sqref="B20">
    <cfRule type="expression" dxfId="73" priority="1">
      <formula>B20&gt;11</formula>
    </cfRule>
    <cfRule type="expression" dxfId="72" priority="2">
      <formula>B20&gt;=10</formula>
    </cfRule>
    <cfRule type="expression" dxfId="71" priority="3">
      <formula>B20&lt;10</formula>
    </cfRule>
  </conditionalFormatting>
  <conditionalFormatting sqref="B22">
    <cfRule type="expression" dxfId="70" priority="13">
      <formula>B22=B21</formula>
    </cfRule>
    <cfRule type="expression" dxfId="69" priority="14">
      <formula>B22&lt;B21</formula>
    </cfRule>
  </conditionalFormatting>
  <conditionalFormatting sqref="G4">
    <cfRule type="expression" dxfId="68" priority="10">
      <formula>G4&gt;11</formula>
    </cfRule>
    <cfRule type="expression" dxfId="67" priority="11">
      <formula>G4&gt;=10</formula>
    </cfRule>
    <cfRule type="expression" dxfId="66" priority="12">
      <formula>G4&lt;10</formula>
    </cfRule>
  </conditionalFormatting>
  <conditionalFormatting sqref="G8">
    <cfRule type="expression" dxfId="65" priority="7">
      <formula>G8&gt;11</formula>
    </cfRule>
    <cfRule type="expression" dxfId="64" priority="8">
      <formula>G8&gt;=10</formula>
    </cfRule>
    <cfRule type="expression" dxfId="63" priority="9">
      <formula>G8&lt;10</formula>
    </cfRule>
  </conditionalFormatting>
  <conditionalFormatting sqref="G15">
    <cfRule type="expression" dxfId="62" priority="4">
      <formula>G15&gt;11</formula>
    </cfRule>
    <cfRule type="expression" dxfId="61" priority="5">
      <formula>G15&gt;=10</formula>
    </cfRule>
    <cfRule type="expression" dxfId="60" priority="6">
      <formula>G15&lt;10</formula>
    </cfRule>
  </conditionalFormatting>
  <conditionalFormatting sqref="I4">
    <cfRule type="expression" dxfId="59" priority="19">
      <formula>I4=H4</formula>
    </cfRule>
    <cfRule type="expression" dxfId="58" priority="20">
      <formula>I4&lt;H4</formula>
    </cfRule>
  </conditionalFormatting>
  <conditionalFormatting sqref="I8">
    <cfRule type="expression" dxfId="57" priority="17">
      <formula>I8=H8</formula>
    </cfRule>
    <cfRule type="expression" dxfId="56" priority="18">
      <formula>I8&lt;H8</formula>
    </cfRule>
  </conditionalFormatting>
  <conditionalFormatting sqref="I15">
    <cfRule type="expression" dxfId="55" priority="15">
      <formula>I15=H15</formula>
    </cfRule>
    <cfRule type="expression" dxfId="54" priority="16">
      <formula>I15&lt;H15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zoomScale="85" zoomScaleNormal="85" workbookViewId="0">
      <selection activeCell="N4" sqref="N4"/>
    </sheetView>
  </sheetViews>
  <sheetFormatPr defaultColWidth="10.9453125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8" zoomScale="70" zoomScaleNormal="70" workbookViewId="0">
      <selection activeCell="G4" sqref="G4"/>
    </sheetView>
  </sheetViews>
  <sheetFormatPr defaultColWidth="10.9453125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4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278</v>
      </c>
      <c r="B34">
        <f>H4+H11+H16+H21+H26</f>
        <v>30</v>
      </c>
    </row>
    <row r="35" spans="1:2" x14ac:dyDescent="0.55000000000000004">
      <c r="A35" s="7" t="s">
        <v>279</v>
      </c>
      <c r="B35">
        <f>I4+I11+I16+I21+I26</f>
        <v>30</v>
      </c>
    </row>
  </sheetData>
  <conditionalFormatting sqref="B33">
    <cfRule type="expression" dxfId="53" priority="1">
      <formula>B33&gt;11</formula>
    </cfRule>
    <cfRule type="expression" dxfId="52" priority="2">
      <formula>B33&gt;=10</formula>
    </cfRule>
    <cfRule type="expression" dxfId="51" priority="3">
      <formula>B33&lt;10</formula>
    </cfRule>
  </conditionalFormatting>
  <conditionalFormatting sqref="B35">
    <cfRule type="expression" dxfId="50" priority="20">
      <formula>B35&lt;B34</formula>
    </cfRule>
    <cfRule type="expression" dxfId="49" priority="21">
      <formula>B35=B34</formula>
    </cfRule>
  </conditionalFormatting>
  <conditionalFormatting sqref="G4">
    <cfRule type="expression" dxfId="48" priority="17">
      <formula>G4&gt;11</formula>
    </cfRule>
    <cfRule type="expression" dxfId="47" priority="18">
      <formula>G4&gt;=10</formula>
    </cfRule>
    <cfRule type="expression" dxfId="46" priority="19">
      <formula>G4&lt;10</formula>
    </cfRule>
  </conditionalFormatting>
  <conditionalFormatting sqref="G11">
    <cfRule type="expression" dxfId="45" priority="14">
      <formula>G11&gt;11</formula>
    </cfRule>
    <cfRule type="expression" dxfId="44" priority="15">
      <formula>G11&gt;=10</formula>
    </cfRule>
    <cfRule type="expression" dxfId="43" priority="16">
      <formula>G11&lt;10</formula>
    </cfRule>
  </conditionalFormatting>
  <conditionalFormatting sqref="G16">
    <cfRule type="expression" dxfId="42" priority="10">
      <formula>G16&gt;11</formula>
    </cfRule>
    <cfRule type="expression" dxfId="41" priority="11">
      <formula>G16&gt;=10</formula>
    </cfRule>
    <cfRule type="expression" dxfId="40" priority="12">
      <formula>G16&lt;10</formula>
    </cfRule>
  </conditionalFormatting>
  <conditionalFormatting sqref="G21">
    <cfRule type="expression" dxfId="39" priority="7">
      <formula>G21&gt;11</formula>
    </cfRule>
    <cfRule type="expression" dxfId="38" priority="8">
      <formula>G21&gt;=10</formula>
    </cfRule>
    <cfRule type="expression" dxfId="37" priority="9">
      <formula>G21&lt;10</formula>
    </cfRule>
  </conditionalFormatting>
  <conditionalFormatting sqref="G26">
    <cfRule type="expression" dxfId="36" priority="4">
      <formula>G26&gt;11</formula>
    </cfRule>
    <cfRule type="expression" dxfId="35" priority="5">
      <formula>G26&gt;=10</formula>
    </cfRule>
    <cfRule type="expression" dxfId="34" priority="6">
      <formula>G26&lt;10</formula>
    </cfRule>
  </conditionalFormatting>
  <conditionalFormatting sqref="I4">
    <cfRule type="expression" dxfId="33" priority="29">
      <formula>I4=H4</formula>
    </cfRule>
    <cfRule type="expression" dxfId="32" priority="31">
      <formula>I4&lt;H4</formula>
    </cfRule>
  </conditionalFormatting>
  <conditionalFormatting sqref="I11">
    <cfRule type="expression" dxfId="31" priority="28">
      <formula>I11&lt;H11</formula>
    </cfRule>
    <cfRule type="expression" dxfId="30" priority="30">
      <formula>I11=H11</formula>
    </cfRule>
  </conditionalFormatting>
  <conditionalFormatting sqref="I16">
    <cfRule type="expression" dxfId="29" priority="24">
      <formula>I16=H16</formula>
    </cfRule>
    <cfRule type="expression" dxfId="28" priority="25">
      <formula>I16&lt;H16</formula>
    </cfRule>
  </conditionalFormatting>
  <conditionalFormatting sqref="I21">
    <cfRule type="expression" dxfId="27" priority="26">
      <formula>I21=H21</formula>
    </cfRule>
    <cfRule type="expression" dxfId="26" priority="27">
      <formula>I21&lt;H21</formula>
    </cfRule>
  </conditionalFormatting>
  <conditionalFormatting sqref="I26">
    <cfRule type="expression" dxfId="25" priority="22">
      <formula>I26&lt;H26</formula>
    </cfRule>
    <cfRule type="expression" dxfId="24" priority="23">
      <formula>I26=H26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A4" sqref="A4"/>
    </sheetView>
  </sheetViews>
  <sheetFormatPr defaultColWidth="10.9453125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278</v>
      </c>
      <c r="B16">
        <f>H4+H7+H10</f>
        <v>30</v>
      </c>
    </row>
    <row r="17" spans="1:2" x14ac:dyDescent="0.55000000000000004">
      <c r="A17" s="7" t="s">
        <v>279</v>
      </c>
      <c r="B17">
        <f>I4+I7+I10</f>
        <v>30</v>
      </c>
    </row>
  </sheetData>
  <conditionalFormatting sqref="B15">
    <cfRule type="expression" dxfId="23" priority="9">
      <formula>B15&gt;11</formula>
    </cfRule>
    <cfRule type="expression" dxfId="22" priority="10">
      <formula>B15&gt;=10</formula>
    </cfRule>
    <cfRule type="expression" dxfId="21" priority="11">
      <formula>B15&lt;10</formula>
    </cfRule>
  </conditionalFormatting>
  <conditionalFormatting sqref="B17">
    <cfRule type="expression" dxfId="20" priority="1">
      <formula>B17=B16</formula>
    </cfRule>
    <cfRule type="expression" dxfId="19" priority="2">
      <formula>B17&lt;B16</formula>
    </cfRule>
  </conditionalFormatting>
  <conditionalFormatting sqref="G4">
    <cfRule type="expression" dxfId="18" priority="18">
      <formula>G4&gt;11</formula>
    </cfRule>
    <cfRule type="expression" dxfId="17" priority="19">
      <formula>G4&gt;=10</formula>
    </cfRule>
    <cfRule type="expression" dxfId="16" priority="20">
      <formula>G4&lt;10</formula>
    </cfRule>
  </conditionalFormatting>
  <conditionalFormatting sqref="G7">
    <cfRule type="expression" dxfId="15" priority="15">
      <formula>G7&gt;11</formula>
    </cfRule>
    <cfRule type="expression" dxfId="14" priority="16">
      <formula>G7&gt;=10</formula>
    </cfRule>
    <cfRule type="expression" dxfId="13" priority="17">
      <formula>G7&lt;10</formula>
    </cfRule>
  </conditionalFormatting>
  <conditionalFormatting sqref="G10">
    <cfRule type="expression" dxfId="12" priority="12">
      <formula>G10&gt;11</formula>
    </cfRule>
    <cfRule type="expression" dxfId="11" priority="13">
      <formula>G10&gt;=10</formula>
    </cfRule>
    <cfRule type="expression" dxfId="10" priority="14">
      <formula>G10&lt;10</formula>
    </cfRule>
  </conditionalFormatting>
  <conditionalFormatting sqref="I4">
    <cfRule type="expression" dxfId="9" priority="7">
      <formula>I4=H4</formula>
    </cfRule>
    <cfRule type="expression" dxfId="8" priority="8">
      <formula>I4&lt;H4</formula>
    </cfRule>
  </conditionalFormatting>
  <conditionalFormatting sqref="I7">
    <cfRule type="expression" dxfId="7" priority="5">
      <formula>I7=H7</formula>
    </cfRule>
    <cfRule type="expression" dxfId="6" priority="6">
      <formula>I7&lt;H7</formula>
    </cfRule>
  </conditionalFormatting>
  <conditionalFormatting sqref="I10">
    <cfRule type="expression" dxfId="5" priority="3">
      <formula>I10=H10</formula>
    </cfRule>
    <cfRule type="expression" dxfId="4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:I34"/>
  <sheetViews>
    <sheetView zoomScale="85" zoomScaleNormal="85" workbookViewId="0">
      <selection activeCell="D13" sqref="D13"/>
    </sheetView>
  </sheetViews>
  <sheetFormatPr defaultColWidth="10.9453125" defaultRowHeight="14.4" x14ac:dyDescent="0.55000000000000004"/>
  <cols>
    <col min="1" max="1" width="33.47265625" customWidth="1"/>
    <col min="2" max="2" width="10.578125" bestFit="1" customWidth="1"/>
    <col min="3" max="3" width="7" bestFit="1" customWidth="1"/>
    <col min="4" max="4" width="18.578125" bestFit="1" customWidth="1"/>
    <col min="5" max="5" width="8.1015625" bestFit="1" customWidth="1"/>
    <col min="6" max="6" width="7.15625" bestFit="1" customWidth="1"/>
    <col min="7" max="7" width="11.1015625" customWidth="1"/>
    <col min="8" max="8" width="18.578125" bestFit="1" customWidth="1"/>
    <col min="9" max="9" width="17.89453125" bestFit="1" customWidth="1"/>
    <col min="10" max="10" width="14.261718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1:9" ht="26.4" x14ac:dyDescent="1">
      <c r="A1" s="6" t="s">
        <v>288</v>
      </c>
      <c r="B1" s="7"/>
    </row>
    <row r="2" spans="1:9" ht="40.5" customHeight="1" x14ac:dyDescent="0.75">
      <c r="A2" s="8" t="s">
        <v>189</v>
      </c>
      <c r="B2" s="9" t="s">
        <v>296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9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9" x14ac:dyDescent="0.55000000000000004">
      <c r="A15" s="7" t="s">
        <v>303</v>
      </c>
      <c r="B15">
        <f>B16+B17</f>
        <v>45</v>
      </c>
      <c r="C15">
        <f>C16+C17</f>
        <v>7.5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9" x14ac:dyDescent="0.55000000000000004">
      <c r="A17" t="s">
        <v>304</v>
      </c>
      <c r="B17">
        <v>15</v>
      </c>
      <c r="C17">
        <v>2.5</v>
      </c>
      <c r="D17" t="s">
        <v>5</v>
      </c>
      <c r="E17">
        <v>10</v>
      </c>
      <c r="F17">
        <f>C17</f>
        <v>2.5</v>
      </c>
    </row>
    <row r="19" spans="1:9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9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t="str">
        <f>IF('Read me'!B4="CGSI","Math",IF('Read me'!B4="CIR","Algo C expert",IF('Read me'!B4="BIOST","Biocellulaire",IF('Read me'!B4="CENT","Introduction to economics",IF('Read me'!B4="EST","Changement climatique et sociétés",IF('Read me'!B4="BIAST","Bio veg (DA)",IF('Read me'!B4="MECA","Mathématiques - compléments","autre")))))))</f>
        <v>Math</v>
      </c>
      <c r="B24">
        <f>IF('Read me'!B4="CGSI",60,IF('Read me'!B4="CIR",45,IF('Read me'!B4="BIOST",60,IF('Read me'!B4="CENT",30,IF('Read me'!B4="EST",30,IF('Read me'!B4="BIAST",15,IF('Read me'!B4="MECA",15,0)))))))</f>
        <v>60</v>
      </c>
      <c r="C24">
        <f>IF('Read me'!B4="CGSI",10,IF('Read me'!B4="CIR",7.5,IF('Read me'!B4="BIOST",10,IF('Read me'!B4="CENT",5,IF('Read me'!B4="EST",5,IF('Read me'!B4="BIAST",2.5,IF('Read me'!B4="MECA",2.5,0)))))))</f>
        <v>10</v>
      </c>
      <c r="D24" t="s">
        <v>5</v>
      </c>
      <c r="E24">
        <v>10</v>
      </c>
      <c r="F24">
        <f>C24</f>
        <v>10</v>
      </c>
    </row>
    <row r="25" spans="1:9" x14ac:dyDescent="0.55000000000000004">
      <c r="A25" t="str">
        <f>IF('Read me'!B4="CGSI","Physique",IF('Read me'!B4="CIR","Web frontend",IF('Read me'!B4="BIOST","Histologie",IF('Read me'!B4="CENT","Leadership",IF('Read me'!B4="EST","Changement climatique : causes physiques",IF('Read me'!B4="BIAST","Physio veg (DA; nov)",IF('Read me'!B4="MECA","Sciences de l'ingénieur - compléments","autre")))))))</f>
        <v>Physique</v>
      </c>
      <c r="B25">
        <f>IF('Read me'!B4="CGSI",15,IF('Read me'!B4="CIR",30,IF('Read me'!B4="BIOST",15,IF('Read me'!B4="CENT",30,IF('Read me'!B4="EST",30,IF('Read me'!B4="BIAST",15,IF('Read me'!B4="MECA",15,0)))))))</f>
        <v>15</v>
      </c>
      <c r="C25">
        <f>IF('Read me'!B4="CGSI",2.5,IF('Read me'!B4="CIR",5,IF('Read me'!B4="BIOST",2.5,IF('Read me'!B4="CENT",5,IF('Read me'!B4="EST",5,IF('Read me'!B4="BIAST",2.5,IF('Read me'!B4="MECA",2.5,0)))))))</f>
        <v>2.5</v>
      </c>
      <c r="D25" t="s">
        <v>5</v>
      </c>
      <c r="E25">
        <v>10</v>
      </c>
      <c r="F25">
        <f>C25</f>
        <v>2.5</v>
      </c>
    </row>
    <row r="26" spans="1:9" x14ac:dyDescent="0.55000000000000004">
      <c r="A26" t="str">
        <f>IF('Read me'!B4="CGSI","Sciences de l'ingénieur",IF('Read me'!B4="CIR","Linux",IF('Read me'!B4="BIOST","Biochimie",IF('Read me'!B4="CENT","Introduction to marketing",IF('Read me'!B4="EST","Ecologie générale",IF('Read me'!B4="BIAST","Ecologie générale (FP+EST)",IF('Read me'!B4="MECA","Mécanique","autre")))))))</f>
        <v>Sciences de l'ingénieur</v>
      </c>
      <c r="B26">
        <f>IF('Read me'!B4="CGSI",15,IF('Read me'!B4="CIR",15,IF('Read me'!B4="BIOST",15,IF('Read me'!B4="CENT",30,IF('Read me'!B4="EST",30,IF('Read me'!B4="BIAST",30,IF('Read me'!B4="MECA",60,0)))))))</f>
        <v>15</v>
      </c>
      <c r="C26">
        <f>IF('Read me'!B4="CGSI",2.5,IF('Read me'!B4="CIR",2.5,IF('Read me'!B4="BIOST",2.5,IF('Read me'!B4="CENT",5,IF('Read me'!B4="EST",5,IF('Read me'!B4="BIAST",5,IF('Read me'!B4="MECA",10,0)))))))</f>
        <v>2.5</v>
      </c>
      <c r="D26" t="s">
        <v>5</v>
      </c>
      <c r="E26">
        <v>10</v>
      </c>
      <c r="F26">
        <f>C26</f>
        <v>2.5</v>
      </c>
    </row>
    <row r="27" spans="1:9" x14ac:dyDescent="0.55000000000000004">
      <c r="A27" t="str">
        <f>IF('Read me'!B4="BIAST","botanique(FP)"," ")</f>
        <v xml:space="preserve"> </v>
      </c>
      <c r="B27">
        <f>IF('Read me'!B4="BIAST",30,0)</f>
        <v>0</v>
      </c>
      <c r="C27">
        <f>IF('Read me'!B4="BIAST",5,0)</f>
        <v>0</v>
      </c>
      <c r="D27" t="str">
        <f>IF('Read me'!B4="BIAST","note"," ")</f>
        <v xml:space="preserve"> </v>
      </c>
      <c r="E27">
        <v>10</v>
      </c>
      <c r="F27">
        <f>C27</f>
        <v>0</v>
      </c>
    </row>
    <row r="29" spans="1:9" x14ac:dyDescent="0.55000000000000004">
      <c r="A29" s="7" t="s">
        <v>219</v>
      </c>
      <c r="B29">
        <f>B23+B19+B15+B9+B4</f>
        <v>390</v>
      </c>
      <c r="C29">
        <f>C15+C9+C4+C19+C23</f>
        <v>64</v>
      </c>
    </row>
    <row r="30" spans="1:9" x14ac:dyDescent="0.55000000000000004">
      <c r="A30" s="7" t="s">
        <v>220</v>
      </c>
      <c r="B30" s="13">
        <f>(G4*C4+G9*C9+G15*C15+G19*C19+G23*C23)/C29</f>
        <v>10</v>
      </c>
    </row>
    <row r="31" spans="1:9" x14ac:dyDescent="0.55000000000000004">
      <c r="A31" s="7" t="s">
        <v>221</v>
      </c>
      <c r="B31" s="3">
        <f>ROUND(B30,2)</f>
        <v>10</v>
      </c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263" priority="19">
      <formula>B31&gt;11</formula>
    </cfRule>
    <cfRule type="expression" dxfId="262" priority="20">
      <formula>B31&gt;=10</formula>
    </cfRule>
    <cfRule type="expression" dxfId="261" priority="21">
      <formula>B31&lt;10</formula>
    </cfRule>
  </conditionalFormatting>
  <conditionalFormatting sqref="B33">
    <cfRule type="expression" dxfId="260" priority="11">
      <formula>B33=B32</formula>
    </cfRule>
    <cfRule type="expression" dxfId="259" priority="12">
      <formula>B33&lt;B32</formula>
    </cfRule>
  </conditionalFormatting>
  <conditionalFormatting sqref="G4">
    <cfRule type="expression" dxfId="258" priority="28">
      <formula>G4&gt;11</formula>
    </cfRule>
    <cfRule type="expression" dxfId="257" priority="29">
      <formula>G4&gt;=10</formula>
    </cfRule>
    <cfRule type="expression" dxfId="256" priority="30">
      <formula>G4&lt;10</formula>
    </cfRule>
  </conditionalFormatting>
  <conditionalFormatting sqref="G9">
    <cfRule type="expression" dxfId="255" priority="25">
      <formula>G9&gt;11</formula>
    </cfRule>
    <cfRule type="expression" dxfId="254" priority="26">
      <formula>G9&gt;=10</formula>
    </cfRule>
    <cfRule type="expression" dxfId="253" priority="27">
      <formula>G9&lt;10</formula>
    </cfRule>
  </conditionalFormatting>
  <conditionalFormatting sqref="G15">
    <cfRule type="expression" dxfId="252" priority="22">
      <formula>G15&gt;11</formula>
    </cfRule>
    <cfRule type="expression" dxfId="251" priority="23">
      <formula>G15&gt;=10</formula>
    </cfRule>
    <cfRule type="expression" dxfId="250" priority="24">
      <formula>G15&lt;10</formula>
    </cfRule>
  </conditionalFormatting>
  <conditionalFormatting sqref="G19">
    <cfRule type="expression" dxfId="249" priority="4">
      <formula>G19&gt;11</formula>
    </cfRule>
    <cfRule type="expression" dxfId="248" priority="5">
      <formula>G19&gt;=10</formula>
    </cfRule>
    <cfRule type="expression" dxfId="247" priority="6">
      <formula>G19&lt;10</formula>
    </cfRule>
  </conditionalFormatting>
  <conditionalFormatting sqref="G23">
    <cfRule type="expression" dxfId="246" priority="1">
      <formula>G23&gt;11</formula>
    </cfRule>
    <cfRule type="expression" dxfId="245" priority="2">
      <formula>G23&gt;=10</formula>
    </cfRule>
    <cfRule type="expression" dxfId="244" priority="3">
      <formula>G23&lt;10</formula>
    </cfRule>
  </conditionalFormatting>
  <conditionalFormatting sqref="I4">
    <cfRule type="expression" dxfId="243" priority="17">
      <formula>I4=H4</formula>
    </cfRule>
    <cfRule type="expression" dxfId="242" priority="18">
      <formula>I4&lt;H4</formula>
    </cfRule>
  </conditionalFormatting>
  <conditionalFormatting sqref="I9">
    <cfRule type="expression" dxfId="241" priority="15">
      <formula>I9=H9</formula>
    </cfRule>
    <cfRule type="expression" dxfId="240" priority="16">
      <formula>I9&lt;H9</formula>
    </cfRule>
  </conditionalFormatting>
  <conditionalFormatting sqref="I15">
    <cfRule type="expression" dxfId="239" priority="13">
      <formula>I15=H15</formula>
    </cfRule>
    <cfRule type="expression" dxfId="238" priority="14">
      <formula>I15&lt;H15</formula>
    </cfRule>
  </conditionalFormatting>
  <conditionalFormatting sqref="I19">
    <cfRule type="expression" dxfId="237" priority="9">
      <formula>I19=H19</formula>
    </cfRule>
    <cfRule type="expression" dxfId="236" priority="10">
      <formula>I19&lt;H19</formula>
    </cfRule>
  </conditionalFormatting>
  <conditionalFormatting sqref="I23">
    <cfRule type="expression" dxfId="235" priority="7">
      <formula>I23=H23</formula>
    </cfRule>
    <cfRule type="expression" dxfId="234" priority="8">
      <formula>I23&lt;H23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D3" sqref="D3"/>
    </sheetView>
  </sheetViews>
  <sheetFormatPr defaultColWidth="10.9453125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34"/>
  <sheetViews>
    <sheetView topLeftCell="A8" workbookViewId="0">
      <selection activeCell="A16" sqref="A16"/>
    </sheetView>
  </sheetViews>
  <sheetFormatPr defaultColWidth="10.9453125" defaultRowHeight="14.4" x14ac:dyDescent="0.55000000000000004"/>
  <cols>
    <col min="1" max="1" width="33.47265625" bestFit="1" customWidth="1"/>
    <col min="2" max="2" width="10.26171875" bestFit="1" customWidth="1"/>
    <col min="3" max="3" width="7.3125" customWidth="1"/>
    <col min="4" max="4" width="18.578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58.5" x14ac:dyDescent="0.75">
      <c r="A2" s="8" t="s">
        <v>189</v>
      </c>
      <c r="B2" s="9" t="s">
        <v>296</v>
      </c>
      <c r="C2" s="9" t="s">
        <v>294</v>
      </c>
      <c r="D2" s="8"/>
      <c r="E2" s="8" t="s">
        <v>191</v>
      </c>
      <c r="F2" s="9" t="s">
        <v>295</v>
      </c>
      <c r="G2" s="9" t="s">
        <v>297</v>
      </c>
      <c r="H2" s="9" t="s">
        <v>280</v>
      </c>
      <c r="I2" s="9" t="s">
        <v>284</v>
      </c>
    </row>
    <row r="4" spans="1:9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9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9" x14ac:dyDescent="0.55000000000000004">
      <c r="A15" s="7" t="s">
        <v>201</v>
      </c>
      <c r="B15">
        <f>B16+B17</f>
        <v>60</v>
      </c>
      <c r="C15">
        <f>C16+C17</f>
        <v>10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9" x14ac:dyDescent="0.55000000000000004">
      <c r="A17" t="s">
        <v>60</v>
      </c>
      <c r="B17">
        <v>30</v>
      </c>
      <c r="C17">
        <v>5</v>
      </c>
      <c r="D17" t="s">
        <v>5</v>
      </c>
      <c r="E17">
        <v>10</v>
      </c>
      <c r="F17">
        <f>C17</f>
        <v>5</v>
      </c>
    </row>
    <row r="19" spans="1:9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9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t="str">
        <f>IF('Read me'!B4="CGSI","Math",IF('Read me'!B4="CIR","Algo C expert",IF('Read me'!B4="BIOST","Physio humaine",IF('Read me'!B4="CENT","Les fondamentaux de la relation client 4.0",IF('Read me'!B4="EST","Environnement et sociéré",IF('Read me'!B4="BIAST","Biocell",IF('Read me'!B4="MECA","Mathématiques - compléments","autre")))))))</f>
        <v>Math</v>
      </c>
      <c r="B24">
        <f>IF('Read me'!B4="CGSI",60,IF('Read me'!B4="CIR",45,IF('Read me'!B4="BIOST",30,IF('Read me'!B4="CENT",15,IF('Read me'!B4="EST",30,IF('Read me'!B4="BIAST",30,IF('Read me'!B4="MECA",15,0)))))))</f>
        <v>60</v>
      </c>
      <c r="C24">
        <f>IF('Read me'!B4="CGSI",10,IF('Read me'!B4="CIR",7.5,IF('Read me'!B4="BIOST",5,IF('Read me'!B4="CENT",2.5,IF('Read me'!B4="EST",5,IF('Read me'!B4="BIAST",5,IF('Read me'!B4="MECA",2.5,0)))))))</f>
        <v>10</v>
      </c>
      <c r="D24" t="s">
        <v>5</v>
      </c>
      <c r="E24">
        <v>10</v>
      </c>
      <c r="F24">
        <f>C24</f>
        <v>10</v>
      </c>
    </row>
    <row r="25" spans="1:9" x14ac:dyDescent="0.55000000000000004">
      <c r="A25" t="str">
        <f>IF('Read me'!B4="CGSI","Physique",IF('Read me'!B4="CIR","Web frontend",IF('Read me'!B4="BIOST","Anatomie",IF('Read me'!B4="CENT","Histoire de l'économie et évolution des modèles économiques",IF('Read me'!B4="EST","Chimie",IF('Read me'!B4="BIAST","Biochimie",IF('Read me'!B4="MECA","Sciences de l'ingénieur - compléments","autre")))))))</f>
        <v>Physique</v>
      </c>
      <c r="B25">
        <f>IF('Read me'!B4="CGSI",15,IF('Read me'!B4="CIR",30,IF('Read me'!B4="BIOST",30,IF('Read me'!B4="CENT",15,IF('Read me'!B4="EST",30,IF('Read me'!B4="BIAST",15,IF('Read me'!B4="MECA",15,0)))))))</f>
        <v>15</v>
      </c>
      <c r="C25">
        <f>IF('Read me'!B4="CGSI",2.5,IF('Read me'!B4="CIR",5,IF('Read me'!B4="BIOST",5,IF('Read me'!B4="CENT",2.5,IF('Read me'!B4="EST",5,IF('Read me'!B4="BIAST",2.5,IF('Read me'!B4="MECA",2.5,0)))))))</f>
        <v>2.5</v>
      </c>
      <c r="D25" t="s">
        <v>5</v>
      </c>
      <c r="E25">
        <v>10</v>
      </c>
      <c r="F25">
        <f>C25</f>
        <v>2.5</v>
      </c>
    </row>
    <row r="26" spans="1:9" x14ac:dyDescent="0.55000000000000004">
      <c r="A26" t="str">
        <f>IF('Read me'!B4="CGSI","Sciences de l'ingénieur",IF('Read me'!B4="CIR","Réseaux",IF('Read me'!B4="BIOST","Chimie",IF('Read me'!B4="CENT","Theory of orga",IF('Read me'!B4="EST","Technologie pour l'environnement",IF('Read me'!B4="BIAST","Chimie",IF('Read me'!B4="MECA","Mécanique","autre")))))))</f>
        <v>Sciences de l'ingénieur</v>
      </c>
      <c r="B26">
        <f>IF('Read me'!B4="CGSI",15,IF('Read me'!B4="CIR",15,IF('Read me'!B4="BIOST",30,IF('Read me'!B4="CENT",30,IF('Read me'!B4="EST",30,IF('Read me'!B4="BIAST",30,IF('Read me'!B4="MECA",60,0)))))))</f>
        <v>15</v>
      </c>
      <c r="C26">
        <f>IF('Read me'!B4="CGSI",2.5,IF('Read me'!B4="CIR",2.5,IF('Read me'!B4="BIOST",5,IF('Read me'!B4="CENT",5,IF('Read me'!B4="EST",5,IF('Read me'!B4="BIAST",5,IF('Read me'!B4="MECA",10,0)))))))</f>
        <v>2.5</v>
      </c>
      <c r="D26" t="s">
        <v>5</v>
      </c>
      <c r="E26">
        <v>10</v>
      </c>
      <c r="F26">
        <f>C26</f>
        <v>2.5</v>
      </c>
    </row>
    <row r="27" spans="1:9" x14ac:dyDescent="0.55000000000000004">
      <c r="A27" t="str">
        <f>IF('Read me'!B4="CENT","Introduction to entrepreneurship",IF('Read me'!B4="BIAST","Physio veg"," "))</f>
        <v xml:space="preserve"> </v>
      </c>
      <c r="B27">
        <f>IF('Read me'!B4="CENT",30,IF('Read me'!B4="BIAST",15,0))</f>
        <v>0</v>
      </c>
      <c r="C27">
        <f>IF('Read me'!B4="CENT",5,IF('Read me'!B4="BIAST",2.5,0))</f>
        <v>0</v>
      </c>
      <c r="D27" t="str">
        <f>IF('Read me'!B4="CENT","note",IF('Read me'!B4="BIAST","note"," "))</f>
        <v xml:space="preserve"> </v>
      </c>
      <c r="E27">
        <v>10</v>
      </c>
      <c r="F27">
        <f>C27</f>
        <v>0</v>
      </c>
    </row>
    <row r="29" spans="1:9" x14ac:dyDescent="0.55000000000000004">
      <c r="A29" s="7" t="s">
        <v>219</v>
      </c>
      <c r="B29">
        <f>B23+B19+B15+B9+B4</f>
        <v>405</v>
      </c>
      <c r="C29">
        <f>C15+C9+C4+C19+C23</f>
        <v>66.5</v>
      </c>
    </row>
    <row r="30" spans="1:9" x14ac:dyDescent="0.55000000000000004">
      <c r="A30" s="7" t="s">
        <v>220</v>
      </c>
      <c r="B30" s="13">
        <f>(G4*C4+G9*C9+G15*C15+G19*C19+G23*C23)/C29</f>
        <v>10</v>
      </c>
    </row>
    <row r="31" spans="1:9" x14ac:dyDescent="0.55000000000000004">
      <c r="A31" s="7" t="s">
        <v>221</v>
      </c>
      <c r="B31" s="3">
        <f>ROUND(B30,2)</f>
        <v>10</v>
      </c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233" priority="19">
      <formula>B31&gt;11</formula>
    </cfRule>
    <cfRule type="expression" dxfId="232" priority="20">
      <formula>B31&gt;=10</formula>
    </cfRule>
    <cfRule type="expression" dxfId="231" priority="21">
      <formula>B31&lt;10</formula>
    </cfRule>
  </conditionalFormatting>
  <conditionalFormatting sqref="B33">
    <cfRule type="expression" dxfId="230" priority="11">
      <formula>B33=B32</formula>
    </cfRule>
    <cfRule type="expression" dxfId="229" priority="12">
      <formula>B33&lt;B32</formula>
    </cfRule>
  </conditionalFormatting>
  <conditionalFormatting sqref="G4">
    <cfRule type="expression" dxfId="228" priority="28">
      <formula>G4&gt;11</formula>
    </cfRule>
    <cfRule type="expression" dxfId="227" priority="29">
      <formula>G4&gt;=10</formula>
    </cfRule>
    <cfRule type="expression" dxfId="226" priority="30">
      <formula>G4&lt;10</formula>
    </cfRule>
  </conditionalFormatting>
  <conditionalFormatting sqref="G9">
    <cfRule type="expression" dxfId="225" priority="25">
      <formula>G9&gt;11</formula>
    </cfRule>
    <cfRule type="expression" dxfId="224" priority="26">
      <formula>G9&gt;=10</formula>
    </cfRule>
    <cfRule type="expression" dxfId="223" priority="27">
      <formula>G9&lt;10</formula>
    </cfRule>
  </conditionalFormatting>
  <conditionalFormatting sqref="G15">
    <cfRule type="expression" dxfId="222" priority="22">
      <formula>G15&gt;11</formula>
    </cfRule>
    <cfRule type="expression" dxfId="221" priority="23">
      <formula>G15&gt;=10</formula>
    </cfRule>
    <cfRule type="expression" dxfId="220" priority="24">
      <formula>G15&lt;10</formula>
    </cfRule>
  </conditionalFormatting>
  <conditionalFormatting sqref="G19">
    <cfRule type="expression" dxfId="219" priority="4">
      <formula>G19&gt;11</formula>
    </cfRule>
    <cfRule type="expression" dxfId="218" priority="5">
      <formula>G19&gt;=10</formula>
    </cfRule>
    <cfRule type="expression" dxfId="217" priority="6">
      <formula>G19&lt;10</formula>
    </cfRule>
  </conditionalFormatting>
  <conditionalFormatting sqref="G23">
    <cfRule type="expression" dxfId="216" priority="1">
      <formula>G23&gt;11</formula>
    </cfRule>
    <cfRule type="expression" dxfId="215" priority="2">
      <formula>G23&gt;=10</formula>
    </cfRule>
    <cfRule type="expression" dxfId="214" priority="3">
      <formula>G23&lt;10</formula>
    </cfRule>
  </conditionalFormatting>
  <conditionalFormatting sqref="I4">
    <cfRule type="expression" dxfId="213" priority="17">
      <formula>I4=H4</formula>
    </cfRule>
    <cfRule type="expression" dxfId="212" priority="18">
      <formula>I4&lt;H4</formula>
    </cfRule>
  </conditionalFormatting>
  <conditionalFormatting sqref="I9">
    <cfRule type="expression" dxfId="211" priority="15">
      <formula>I9=H9</formula>
    </cfRule>
    <cfRule type="expression" dxfId="210" priority="16">
      <formula>I9&lt;H9</formula>
    </cfRule>
  </conditionalFormatting>
  <conditionalFormatting sqref="I15">
    <cfRule type="expression" dxfId="209" priority="13">
      <formula>I15=H15</formula>
    </cfRule>
    <cfRule type="expression" dxfId="208" priority="14">
      <formula>I15&lt;H15</formula>
    </cfRule>
  </conditionalFormatting>
  <conditionalFormatting sqref="I19">
    <cfRule type="expression" dxfId="207" priority="9">
      <formula>I19=H19</formula>
    </cfRule>
    <cfRule type="expression" dxfId="206" priority="10">
      <formula>I19&lt;H19</formula>
    </cfRule>
  </conditionalFormatting>
  <conditionalFormatting sqref="I23">
    <cfRule type="expression" dxfId="205" priority="7">
      <formula>I23=H23</formula>
    </cfRule>
    <cfRule type="expression" dxfId="204" priority="8">
      <formula>I23&lt;H23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34"/>
  <sheetViews>
    <sheetView workbookViewId="0">
      <selection activeCell="J34" sqref="A4:J34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4" max="4" width="18.578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286</v>
      </c>
      <c r="B1" s="7"/>
    </row>
    <row r="2" spans="1:9" ht="37.200000000000003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9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9" x14ac:dyDescent="0.55000000000000004">
      <c r="A15" s="7" t="s">
        <v>201</v>
      </c>
      <c r="B15">
        <f>B16+B17</f>
        <v>45</v>
      </c>
      <c r="C15">
        <v>7.5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9" x14ac:dyDescent="0.55000000000000004">
      <c r="A17" t="s">
        <v>98</v>
      </c>
      <c r="B17">
        <v>15</v>
      </c>
      <c r="C17">
        <v>2.5</v>
      </c>
      <c r="D17" t="s">
        <v>5</v>
      </c>
      <c r="E17">
        <v>10</v>
      </c>
      <c r="F17">
        <f>C17</f>
        <v>2.5</v>
      </c>
    </row>
    <row r="19" spans="1:9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9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t="str">
        <f>IF('Read me'!B4="CGSI","Math",IF('Read me'!B4="CIR","Algo avancé",IF('Read me'!B4="BIOST","Biochimie métabolique",IF('Read me'!B4="CENT"," ",IF('Read me'!B4="EST","Numérique et développement durable",IF('Read me'!B4="BIAST","Géologie",IF('Read me'!B4="MECA","Sciences de l'ingénieur compléments","autre")))))))</f>
        <v>Math</v>
      </c>
      <c r="B24">
        <f>IF('Read me'!B4="CGSI",30,IF('Read me'!B4="CIR",15,IF('Read me'!B4="BIOST",30,IF('Read me'!B4="CENT",0,IF('Read me'!B4="EST",15,IF('Read me'!B4="BIAST",30,IF('Read me'!B4="MECA",30,0)))))))</f>
        <v>30</v>
      </c>
      <c r="C24">
        <f>IF('Read me'!B4="CGSI",5,IF('Read me'!B4="CIR",2.5,IF('Read me'!B4="BIOST",5,IF('Read me'!B4="CENT",0,IF('Read me'!B4="EST",2.5,IF('Read me'!B4="BIAST",5,IF('Read me'!B4="MECA",5,0)))))))</f>
        <v>5</v>
      </c>
      <c r="D24" t="s">
        <v>5</v>
      </c>
      <c r="E24">
        <v>10</v>
      </c>
      <c r="F24">
        <f>C24</f>
        <v>5</v>
      </c>
    </row>
    <row r="25" spans="1:9" x14ac:dyDescent="0.55000000000000004">
      <c r="A25" t="str">
        <f>IF('Read me'!B4="CGSI","Physique",IF('Read me'!B4="CIR","Serveur Web",IF('Read me'!B4="BIOST","Génétique humaine",IF('Read me'!B4="CENT"," ",IF('Read me'!B4="EST","Ressources naturelles",IF('Read me'!B4="BIAST","Pédo",IF('Read me'!B4="MECA","Mécanique","autre")))))))</f>
        <v>Physique</v>
      </c>
      <c r="B25">
        <f>IF('Read me'!B4="CGSI",30,IF('Read me'!B4="CIR",15,IF('Read me'!B4="BIOST",30,IF('Read me'!B4="CENT",0,IF('Read me'!B4="EST",30,IF('Read me'!B4="BIAST",30,IF('Read me'!B4="MECA",60,0)))))))</f>
        <v>30</v>
      </c>
      <c r="C25">
        <f>IF('Read me'!B4="CGSI",5,IF('Read me'!B4="CIR",2.5,IF('Read me'!B4="BIOST",5,IF('Read me'!B4="CENT",0,IF('Read me'!B4="EST",5,IF('Read me'!B4="BIAST",5,IF('Read me'!B4="MECA",10,0)))))))</f>
        <v>5</v>
      </c>
      <c r="D25" t="s">
        <v>5</v>
      </c>
      <c r="E25">
        <v>10</v>
      </c>
      <c r="F25">
        <f>C25</f>
        <v>5</v>
      </c>
    </row>
    <row r="26" spans="1:9" x14ac:dyDescent="0.55000000000000004">
      <c r="A26" t="str">
        <f>IF('Read me'!B4="CGSI","Sciences de l'ingénieur",IF('Read me'!B4="CIR","Web backend",IF('Read me'!B4="BIOST","Physio humaine",IF('Read me'!B4="CENT"," ",IF('Read me'!B4="EST","SIG",IF('Read me'!B4="BIAST","Agro technique",IF('Read me'!B4="MECA"," ","autre")))))))</f>
        <v>Sciences de l'ingénieur</v>
      </c>
      <c r="B26">
        <f>IF('Read me'!B4="CGSI",30,IF('Read me'!B4="CIR",30,IF('Read me'!B4="BIOST",30,IF('Read me'!B4="CENT",0,IF('Read me'!B4="EST",30,IF('Read me'!B4="BIAST",30,IF('Read me'!B4="MECA",0,0)))))))</f>
        <v>30</v>
      </c>
      <c r="C26">
        <f>IF('Read me'!B4="CGSI",5,IF('Read me'!B4="CIR",5,IF('Read me'!B4="BIOST",5,IF('Read me'!B4="CENT",0,IF('Read me'!B4="EST",5,IF('Read me'!B4="BIAST",5,IF('Read me'!B4="MECA",0,0)))))))</f>
        <v>5</v>
      </c>
      <c r="D26" t="str">
        <f>IF('Read me'!B4="MECA"," ","note")</f>
        <v>note</v>
      </c>
      <c r="E26">
        <v>10</v>
      </c>
      <c r="F26">
        <f>C26</f>
        <v>5</v>
      </c>
    </row>
    <row r="27" spans="1:9" x14ac:dyDescent="0.55000000000000004">
      <c r="A27" t="str">
        <f>IF('Read me'!B4="CIR","BDD",IF('Read me'!B4="EST","Biocellulaire"," "))</f>
        <v xml:space="preserve"> </v>
      </c>
      <c r="B27">
        <f>IF('Read me'!B4="CIR",30,IF('Read me'!B4="EST",15,0))</f>
        <v>0</v>
      </c>
      <c r="C27">
        <f>IF('Read me'!B4="CIR",5,IF('Read me'!B4="EST",2.5,0))</f>
        <v>0</v>
      </c>
      <c r="D27" t="str">
        <f>IF('Read me'!B4="CIR","note",IF('Read me'!B4="EST","note"," "))</f>
        <v xml:space="preserve"> </v>
      </c>
      <c r="E27">
        <v>10</v>
      </c>
      <c r="F27">
        <f>C27</f>
        <v>0</v>
      </c>
    </row>
    <row r="29" spans="1:9" x14ac:dyDescent="0.55000000000000004">
      <c r="A29" s="7" t="s">
        <v>219</v>
      </c>
      <c r="B29">
        <f>B23+B19+B15+B9+B4</f>
        <v>390</v>
      </c>
      <c r="C29">
        <f>C15+C9+C4+C19+C23</f>
        <v>64</v>
      </c>
    </row>
    <row r="30" spans="1:9" x14ac:dyDescent="0.55000000000000004">
      <c r="A30" s="7" t="s">
        <v>220</v>
      </c>
      <c r="B30" s="13">
        <f>(G4*C4+G9*C9+G15*C15+G19*C19+G23*C23)/C29</f>
        <v>10</v>
      </c>
    </row>
    <row r="31" spans="1:9" x14ac:dyDescent="0.55000000000000004">
      <c r="A31" s="7" t="s">
        <v>221</v>
      </c>
      <c r="B31" s="3">
        <f>ROUND(B30,2)</f>
        <v>10</v>
      </c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203" priority="19">
      <formula>B31&gt;11</formula>
    </cfRule>
    <cfRule type="expression" dxfId="202" priority="20">
      <formula>B31&gt;=10</formula>
    </cfRule>
    <cfRule type="expression" dxfId="201" priority="21">
      <formula>B31&lt;10</formula>
    </cfRule>
  </conditionalFormatting>
  <conditionalFormatting sqref="B33">
    <cfRule type="expression" dxfId="200" priority="11">
      <formula>B33=B32</formula>
    </cfRule>
    <cfRule type="expression" dxfId="199" priority="12">
      <formula>B33&lt;B32</formula>
    </cfRule>
  </conditionalFormatting>
  <conditionalFormatting sqref="G4">
    <cfRule type="expression" dxfId="198" priority="28">
      <formula>G4&gt;11</formula>
    </cfRule>
    <cfRule type="expression" dxfId="197" priority="29">
      <formula>G4&gt;=10</formula>
    </cfRule>
    <cfRule type="expression" dxfId="196" priority="30">
      <formula>G4&lt;10</formula>
    </cfRule>
  </conditionalFormatting>
  <conditionalFormatting sqref="G9">
    <cfRule type="expression" dxfId="195" priority="25">
      <formula>G9&gt;11</formula>
    </cfRule>
    <cfRule type="expression" dxfId="194" priority="26">
      <formula>G9&gt;=10</formula>
    </cfRule>
    <cfRule type="expression" dxfId="193" priority="27">
      <formula>G9&lt;10</formula>
    </cfRule>
  </conditionalFormatting>
  <conditionalFormatting sqref="G15">
    <cfRule type="expression" dxfId="192" priority="22">
      <formula>G15&gt;11</formula>
    </cfRule>
    <cfRule type="expression" dxfId="191" priority="23">
      <formula>G15&gt;=10</formula>
    </cfRule>
    <cfRule type="expression" dxfId="190" priority="24">
      <formula>G15&lt;10</formula>
    </cfRule>
  </conditionalFormatting>
  <conditionalFormatting sqref="G19">
    <cfRule type="expression" dxfId="189" priority="4">
      <formula>G19&gt;11</formula>
    </cfRule>
    <cfRule type="expression" dxfId="188" priority="5">
      <formula>G19&gt;=10</formula>
    </cfRule>
    <cfRule type="expression" dxfId="187" priority="6">
      <formula>G19&lt;10</formula>
    </cfRule>
  </conditionalFormatting>
  <conditionalFormatting sqref="G23">
    <cfRule type="expression" dxfId="186" priority="1">
      <formula>G23&gt;11</formula>
    </cfRule>
    <cfRule type="expression" dxfId="185" priority="2">
      <formula>G23&gt;=10</formula>
    </cfRule>
    <cfRule type="expression" dxfId="184" priority="3">
      <formula>G23&lt;10</formula>
    </cfRule>
  </conditionalFormatting>
  <conditionalFormatting sqref="I4">
    <cfRule type="expression" dxfId="183" priority="17">
      <formula>I4=H4</formula>
    </cfRule>
    <cfRule type="expression" dxfId="182" priority="18">
      <formula>I4&lt;H4</formula>
    </cfRule>
  </conditionalFormatting>
  <conditionalFormatting sqref="I9">
    <cfRule type="expression" dxfId="181" priority="15">
      <formula>I9=H9</formula>
    </cfRule>
    <cfRule type="expression" dxfId="180" priority="16">
      <formula>I9&lt;H9</formula>
    </cfRule>
  </conditionalFormatting>
  <conditionalFormatting sqref="I15">
    <cfRule type="expression" dxfId="179" priority="13">
      <formula>I15=H15</formula>
    </cfRule>
    <cfRule type="expression" dxfId="178" priority="14">
      <formula>I15&lt;H15</formula>
    </cfRule>
  </conditionalFormatting>
  <conditionalFormatting sqref="I19">
    <cfRule type="expression" dxfId="177" priority="9">
      <formula>I19=H19</formula>
    </cfRule>
    <cfRule type="expression" dxfId="176" priority="10">
      <formula>I19&lt;H19</formula>
    </cfRule>
  </conditionalFormatting>
  <conditionalFormatting sqref="I23">
    <cfRule type="expression" dxfId="175" priority="7">
      <formula>I23=H23</formula>
    </cfRule>
    <cfRule type="expression" dxfId="174" priority="8">
      <formula>I23&lt;H23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Grossmann--Le Mauguen, Arthur</cp:lastModifiedBy>
  <dcterms:created xsi:type="dcterms:W3CDTF">2025-02-24T14:52:18Z</dcterms:created>
  <dcterms:modified xsi:type="dcterms:W3CDTF">2025-04-29T18:35:36Z</dcterms:modified>
</cp:coreProperties>
</file>