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1ED437D7-38C1-4FF2-B577-BC1646E5A200}" xr6:coauthVersionLast="47" xr6:coauthVersionMax="47" xr10:uidLastSave="{00000000-0000-0000-0000-000000000000}"/>
  <bookViews>
    <workbookView xWindow="28690" yWindow="-110" windowWidth="19420" windowHeight="10300" tabRatio="85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23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definedNames>
    <definedName name="_xlnm._FilterDatabase" localSheetId="0" hidden="1">'Read me'!$A$1:$B$5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9" l="1"/>
  <c r="K7" i="19"/>
  <c r="K4" i="19"/>
  <c r="B18" i="19"/>
  <c r="K26" i="18"/>
  <c r="B36" i="18"/>
  <c r="K21" i="18"/>
  <c r="K16" i="18"/>
  <c r="K11" i="18"/>
  <c r="K4" i="18"/>
  <c r="B23" i="16"/>
  <c r="K15" i="16"/>
  <c r="K8" i="16"/>
  <c r="K4" i="16"/>
  <c r="B37" i="14"/>
  <c r="K20" i="14"/>
  <c r="K14" i="14"/>
  <c r="K4" i="14"/>
  <c r="B39" i="12"/>
  <c r="K28" i="12"/>
  <c r="K23" i="12"/>
  <c r="K14" i="12"/>
  <c r="K4" i="12"/>
  <c r="K9" i="12"/>
  <c r="B39" i="23"/>
  <c r="K24" i="23"/>
  <c r="K12" i="23"/>
  <c r="K4" i="23"/>
  <c r="B33" i="8"/>
  <c r="K23" i="8"/>
  <c r="K19" i="8"/>
  <c r="K15" i="8"/>
  <c r="K9" i="8"/>
  <c r="K4" i="8"/>
  <c r="B34" i="6"/>
  <c r="K23" i="6"/>
  <c r="K19" i="6"/>
  <c r="K15" i="6"/>
  <c r="K9" i="6"/>
  <c r="K4" i="6"/>
  <c r="K23" i="4"/>
  <c r="B34" i="4"/>
  <c r="K19" i="4"/>
  <c r="K15" i="4"/>
  <c r="K9" i="4"/>
  <c r="K4" i="4"/>
  <c r="B34" i="2"/>
  <c r="K23" i="2"/>
  <c r="K19" i="2"/>
  <c r="K15" i="2"/>
  <c r="K9" i="2"/>
  <c r="K4" i="2"/>
  <c r="K15" i="21"/>
  <c r="J15" i="21"/>
  <c r="I15" i="21"/>
  <c r="H15" i="21"/>
  <c r="G15" i="21"/>
  <c r="F15" i="21"/>
  <c r="E15" i="21"/>
  <c r="D15" i="21"/>
  <c r="C15" i="21"/>
  <c r="B15" i="21"/>
  <c r="C26" i="8"/>
  <c r="B26" i="8"/>
  <c r="A26" i="8"/>
  <c r="C25" i="8"/>
  <c r="F25" i="8" s="1"/>
  <c r="B25" i="8"/>
  <c r="A25" i="8"/>
  <c r="C24" i="8"/>
  <c r="F24" i="8" s="1"/>
  <c r="B24" i="8"/>
  <c r="B23" i="8" s="1"/>
  <c r="A24" i="8"/>
  <c r="B31" i="8"/>
  <c r="D26" i="8"/>
  <c r="F21" i="8"/>
  <c r="F20" i="8"/>
  <c r="C19" i="8"/>
  <c r="B19" i="8"/>
  <c r="F17" i="8"/>
  <c r="E15" i="8" s="1"/>
  <c r="G15" i="8" s="1"/>
  <c r="I15" i="8" s="1"/>
  <c r="F16" i="8"/>
  <c r="A16" i="8"/>
  <c r="B15" i="8"/>
  <c r="F13" i="8"/>
  <c r="F12" i="8"/>
  <c r="F11" i="8"/>
  <c r="F10" i="8"/>
  <c r="C9" i="8"/>
  <c r="B9" i="8"/>
  <c r="F7" i="8"/>
  <c r="F6" i="8"/>
  <c r="F5" i="8"/>
  <c r="E4" i="8"/>
  <c r="G4" i="8" s="1"/>
  <c r="B4" i="8"/>
  <c r="D27" i="6"/>
  <c r="A27" i="6"/>
  <c r="C27" i="6"/>
  <c r="F27" i="6" s="1"/>
  <c r="B27" i="6"/>
  <c r="D26" i="6"/>
  <c r="C26" i="6"/>
  <c r="B26" i="6"/>
  <c r="A26" i="6"/>
  <c r="C25" i="6"/>
  <c r="F25" i="6" s="1"/>
  <c r="B25" i="6"/>
  <c r="A25" i="6"/>
  <c r="C24" i="6"/>
  <c r="F24" i="6" s="1"/>
  <c r="B24" i="6"/>
  <c r="A24" i="6"/>
  <c r="A16" i="6"/>
  <c r="B32" i="6"/>
  <c r="F21" i="6"/>
  <c r="F20" i="6"/>
  <c r="E19" i="6" s="1"/>
  <c r="G19" i="6" s="1"/>
  <c r="I19" i="6" s="1"/>
  <c r="C19" i="6"/>
  <c r="B19" i="6"/>
  <c r="F17" i="6"/>
  <c r="F16" i="6"/>
  <c r="B15" i="6"/>
  <c r="F13" i="6"/>
  <c r="F12" i="6"/>
  <c r="F11" i="6"/>
  <c r="F10" i="6"/>
  <c r="E9" i="6" s="1"/>
  <c r="G9" i="6" s="1"/>
  <c r="I9" i="6" s="1"/>
  <c r="C9" i="6"/>
  <c r="B9" i="6"/>
  <c r="F7" i="6"/>
  <c r="F6" i="6"/>
  <c r="F5" i="6"/>
  <c r="E4" i="6"/>
  <c r="G4" i="6" s="1"/>
  <c r="B4" i="6"/>
  <c r="D27" i="4"/>
  <c r="C27" i="4"/>
  <c r="F27" i="4" s="1"/>
  <c r="B27" i="4"/>
  <c r="A27" i="4"/>
  <c r="C26" i="4"/>
  <c r="B26" i="4"/>
  <c r="A26" i="4"/>
  <c r="C25" i="4"/>
  <c r="F25" i="4" s="1"/>
  <c r="B25" i="4"/>
  <c r="A25" i="4"/>
  <c r="C24" i="4"/>
  <c r="B24" i="4"/>
  <c r="A24" i="4"/>
  <c r="B32" i="4"/>
  <c r="F21" i="4"/>
  <c r="F20" i="4"/>
  <c r="E19" i="4" s="1"/>
  <c r="G19" i="4" s="1"/>
  <c r="I19" i="4" s="1"/>
  <c r="C19" i="4"/>
  <c r="B19" i="4"/>
  <c r="F17" i="4"/>
  <c r="F16" i="4"/>
  <c r="C15" i="4"/>
  <c r="B15" i="4"/>
  <c r="F13" i="4"/>
  <c r="F12" i="4"/>
  <c r="F11" i="4"/>
  <c r="F10" i="4"/>
  <c r="E9" i="4" s="1"/>
  <c r="G9" i="4" s="1"/>
  <c r="I9" i="4" s="1"/>
  <c r="C9" i="4"/>
  <c r="B9" i="4"/>
  <c r="F7" i="4"/>
  <c r="F6" i="4"/>
  <c r="F5" i="4"/>
  <c r="E4" i="4"/>
  <c r="G4" i="4" s="1"/>
  <c r="B4" i="4"/>
  <c r="C26" i="2"/>
  <c r="F26" i="2" s="1"/>
  <c r="B26" i="2"/>
  <c r="A26" i="2"/>
  <c r="C25" i="2"/>
  <c r="F25" i="2" s="1"/>
  <c r="B25" i="2"/>
  <c r="A25" i="2"/>
  <c r="A27" i="2"/>
  <c r="D27" i="2"/>
  <c r="B27" i="2"/>
  <c r="C27" i="2"/>
  <c r="F27" i="2" s="1"/>
  <c r="C24" i="2"/>
  <c r="F24" i="2" s="1"/>
  <c r="B24" i="2"/>
  <c r="A24" i="2"/>
  <c r="A11" i="12"/>
  <c r="F21" i="2"/>
  <c r="F20" i="2"/>
  <c r="F17" i="2"/>
  <c r="F16" i="2"/>
  <c r="C19" i="2"/>
  <c r="B19" i="2"/>
  <c r="B32" i="2"/>
  <c r="C15" i="2"/>
  <c r="B15" i="2"/>
  <c r="F7" i="2"/>
  <c r="F6" i="2"/>
  <c r="F5" i="2"/>
  <c r="F13" i="2"/>
  <c r="F12" i="2"/>
  <c r="F11" i="2"/>
  <c r="F10" i="2"/>
  <c r="B9" i="2"/>
  <c r="C9" i="2"/>
  <c r="B4" i="2"/>
  <c r="G14" i="21"/>
  <c r="B4" i="23"/>
  <c r="F22" i="23"/>
  <c r="D22" i="23"/>
  <c r="C22" i="23"/>
  <c r="B22" i="23"/>
  <c r="B12" i="23" s="1"/>
  <c r="A22" i="23"/>
  <c r="A20" i="23"/>
  <c r="B37" i="23"/>
  <c r="C32" i="23"/>
  <c r="C31" i="23"/>
  <c r="C28" i="23"/>
  <c r="C25" i="23"/>
  <c r="E24" i="23"/>
  <c r="C24" i="23"/>
  <c r="B24" i="23"/>
  <c r="C20" i="23"/>
  <c r="C15" i="23"/>
  <c r="C13" i="23"/>
  <c r="E10" i="23"/>
  <c r="E4" i="23" s="1"/>
  <c r="G4" i="23" s="1"/>
  <c r="C10" i="23"/>
  <c r="C7" i="23"/>
  <c r="C6" i="23"/>
  <c r="C5" i="23"/>
  <c r="C4" i="23" s="1"/>
  <c r="E20" i="14"/>
  <c r="A9" i="12"/>
  <c r="A12" i="12"/>
  <c r="E14" i="12"/>
  <c r="G14" i="12" s="1"/>
  <c r="I14" i="12" s="1"/>
  <c r="B37" i="12"/>
  <c r="B35" i="14"/>
  <c r="B21" i="16"/>
  <c r="B34" i="18"/>
  <c r="E26" i="18"/>
  <c r="E21" i="18"/>
  <c r="E16" i="18"/>
  <c r="E11" i="18"/>
  <c r="H4" i="19"/>
  <c r="H7" i="19"/>
  <c r="H10" i="19"/>
  <c r="C11" i="19"/>
  <c r="E4" i="14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9" i="12"/>
  <c r="E9" i="12" s="1"/>
  <c r="G9" i="12" s="1"/>
  <c r="I9" i="12" s="1"/>
  <c r="C14" i="12"/>
  <c r="C28" i="12"/>
  <c r="E28" i="12" s="1"/>
  <c r="B28" i="12"/>
  <c r="C23" i="12"/>
  <c r="E23" i="12" s="1"/>
  <c r="G23" i="12" s="1"/>
  <c r="I23" i="12" s="1"/>
  <c r="B23" i="12"/>
  <c r="B14" i="12"/>
  <c r="B9" i="12"/>
  <c r="C4" i="12"/>
  <c r="E4" i="12" s="1"/>
  <c r="B4" i="12"/>
  <c r="E9" i="2" l="1"/>
  <c r="G9" i="2" s="1"/>
  <c r="I9" i="2" s="1"/>
  <c r="E15" i="2"/>
  <c r="G15" i="2" s="1"/>
  <c r="I15" i="2" s="1"/>
  <c r="E19" i="2"/>
  <c r="G19" i="2" s="1"/>
  <c r="I19" i="2" s="1"/>
  <c r="C23" i="8"/>
  <c r="C28" i="8" s="1"/>
  <c r="C23" i="4"/>
  <c r="C29" i="4" s="1"/>
  <c r="B23" i="4"/>
  <c r="B29" i="4" s="1"/>
  <c r="C12" i="23"/>
  <c r="C34" i="23" s="1"/>
  <c r="F24" i="4"/>
  <c r="C23" i="2"/>
  <c r="C29" i="2" s="1"/>
  <c r="E9" i="8"/>
  <c r="G9" i="8" s="1"/>
  <c r="I9" i="8" s="1"/>
  <c r="E19" i="8"/>
  <c r="G19" i="8" s="1"/>
  <c r="I19" i="8" s="1"/>
  <c r="B28" i="8"/>
  <c r="I4" i="8"/>
  <c r="F26" i="8"/>
  <c r="C23" i="6"/>
  <c r="C29" i="6" s="1"/>
  <c r="B23" i="6"/>
  <c r="B29" i="6" s="1"/>
  <c r="I4" i="6"/>
  <c r="F26" i="6"/>
  <c r="E15" i="6"/>
  <c r="G15" i="6" s="1"/>
  <c r="I15" i="6" s="1"/>
  <c r="I4" i="4"/>
  <c r="F26" i="4"/>
  <c r="E15" i="4"/>
  <c r="G15" i="4" s="1"/>
  <c r="I15" i="4" s="1"/>
  <c r="B23" i="2"/>
  <c r="B29" i="2" s="1"/>
  <c r="E4" i="2"/>
  <c r="G4" i="2" s="1"/>
  <c r="B34" i="23"/>
  <c r="I4" i="23"/>
  <c r="G24" i="23"/>
  <c r="I24" i="23" s="1"/>
  <c r="B16" i="19"/>
  <c r="B34" i="12"/>
  <c r="C34" i="12"/>
  <c r="G28" i="12"/>
  <c r="I28" i="12" s="1"/>
  <c r="G4" i="12"/>
  <c r="I4" i="12" s="1"/>
  <c r="E23" i="2" l="1"/>
  <c r="G23" i="2" s="1"/>
  <c r="I23" i="2" s="1"/>
  <c r="E23" i="4"/>
  <c r="G23" i="4" s="1"/>
  <c r="I23" i="4" s="1"/>
  <c r="B33" i="4" s="1"/>
  <c r="E12" i="23"/>
  <c r="G12" i="23" s="1"/>
  <c r="I12" i="23" s="1"/>
  <c r="B38" i="23" s="1"/>
  <c r="E23" i="6"/>
  <c r="G23" i="6" s="1"/>
  <c r="I23" i="6" s="1"/>
  <c r="B33" i="6" s="1"/>
  <c r="E23" i="8"/>
  <c r="G23" i="8" s="1"/>
  <c r="I4" i="2"/>
  <c r="B38" i="12"/>
  <c r="B35" i="12"/>
  <c r="B36" i="12" s="1"/>
  <c r="B33" i="2" l="1"/>
  <c r="B36" i="23"/>
  <c r="F14" i="21" s="1"/>
  <c r="B20" i="21" s="1"/>
  <c r="B35" i="23"/>
  <c r="B30" i="2"/>
  <c r="B31" i="2" s="1"/>
  <c r="B14" i="21" s="1"/>
  <c r="B30" i="4"/>
  <c r="B31" i="4" s="1"/>
  <c r="C14" i="21" s="1"/>
  <c r="B30" i="6"/>
  <c r="B31" i="6" s="1"/>
  <c r="D14" i="21" s="1"/>
  <c r="I23" i="8"/>
  <c r="B32" i="8" s="1"/>
  <c r="B29" i="8"/>
  <c r="B30" i="8" s="1"/>
  <c r="E14" i="21" s="1"/>
  <c r="B19" i="21" s="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I21" i="18" s="1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I16" i="18" s="1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E8" i="16" s="1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G20" i="14" s="1"/>
  <c r="I20" i="14" s="1"/>
  <c r="C20" i="14"/>
  <c r="C32" i="14" s="1"/>
  <c r="B20" i="14"/>
  <c r="F18" i="14"/>
  <c r="F17" i="14"/>
  <c r="F16" i="14"/>
  <c r="F15" i="14"/>
  <c r="E14" i="14" s="1"/>
  <c r="G14" i="14" s="1"/>
  <c r="I14" i="14" s="1"/>
  <c r="C14" i="14"/>
  <c r="B14" i="14"/>
  <c r="F12" i="14"/>
  <c r="C4" i="14"/>
  <c r="B4" i="14"/>
  <c r="B17" i="21" l="1"/>
  <c r="D17" i="21"/>
  <c r="E4" i="18"/>
  <c r="G4" i="18" s="1"/>
  <c r="I4" i="18" s="1"/>
  <c r="G7" i="19"/>
  <c r="I7" i="19" s="1"/>
  <c r="C13" i="19"/>
  <c r="G4" i="19"/>
  <c r="I4" i="19" s="1"/>
  <c r="G11" i="18"/>
  <c r="I11" i="18" s="1"/>
  <c r="E4" i="16"/>
  <c r="G4" i="16" s="1"/>
  <c r="I4" i="16" s="1"/>
  <c r="G15" i="16"/>
  <c r="I15" i="16" s="1"/>
  <c r="G8" i="16"/>
  <c r="C18" i="16"/>
  <c r="G4" i="14"/>
  <c r="I4" i="14" s="1"/>
  <c r="B36" i="14" s="1"/>
  <c r="B35" i="18" l="1"/>
  <c r="B19" i="16"/>
  <c r="B20" i="16" s="1"/>
  <c r="I14" i="21" s="1"/>
  <c r="I8" i="16"/>
  <c r="B22" i="16" s="1"/>
  <c r="F17" i="21"/>
  <c r="B32" i="18"/>
  <c r="B33" i="18" s="1"/>
  <c r="J14" i="21" s="1"/>
  <c r="B17" i="19"/>
  <c r="B14" i="19"/>
  <c r="B33" i="14"/>
  <c r="B34" i="14" s="1"/>
  <c r="H14" i="21" s="1"/>
  <c r="B21" i="21" l="1"/>
  <c r="B23" i="21"/>
  <c r="H17" i="21"/>
  <c r="B15" i="19"/>
  <c r="K14" i="21" s="1"/>
  <c r="J17" i="21" s="1"/>
  <c r="B24" i="21" l="1"/>
  <c r="B34" i="21"/>
</calcChain>
</file>

<file path=xl/sharedStrings.xml><?xml version="1.0" encoding="utf-8"?>
<sst xmlns="http://schemas.openxmlformats.org/spreadsheetml/2006/main" count="877" uniqueCount="330">
  <si>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</si>
  <si>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</si>
  <si>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</si>
  <si>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</si>
  <si>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</si>
  <si>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</si>
  <si>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</si>
  <si>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</si>
  <si>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</si>
  <si>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</si>
  <si>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</si>
  <si>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</si>
  <si>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</si>
  <si>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</si>
  <si>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</si>
  <si>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</si>
  <si>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</si>
  <si>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</si>
  <si>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</si>
  <si>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</si>
  <si>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</si>
  <si>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</si>
  <si>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</si>
  <si>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</si>
  <si>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</si>
  <si>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</si>
  <si>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</si>
  <si>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</si>
  <si>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</si>
  <si>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</si>
  <si>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</si>
  <si>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</si>
  <si>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</si>
  <si>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</si>
  <si>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</si>
  <si>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</si>
  <si>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</si>
  <si>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</si>
  <si>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</si>
  <si>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</si>
  <si>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</si>
  <si>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</si>
  <si>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</si>
  <si>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</si>
  <si>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</si>
  <si>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</si>
  <si>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</si>
  <si>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</si>
  <si>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</si>
  <si>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</si>
  <si>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</si>
  <si>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</si>
  <si>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</si>
  <si>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</si>
  <si>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</si>
  <si>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</si>
  <si>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</si>
  <si>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</si>
  <si>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</si>
  <si>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</si>
  <si>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</si>
  <si>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</si>
  <si>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</si>
  <si>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</si>
  <si>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</si>
  <si>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</si>
  <si>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</si>
  <si>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</si>
  <si>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</si>
  <si>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</si>
  <si>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</si>
  <si>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</si>
  <si>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</si>
  <si>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</si>
  <si>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</si>
  <si>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</si>
  <si>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</si>
  <si>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</si>
  <si>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</si>
  <si>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</si>
  <si>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</si>
  <si>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</si>
  <si>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</si>
  <si>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</si>
  <si>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</si>
  <si>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</si>
  <si>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</si>
  <si>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</si>
  <si>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</si>
  <si>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</si>
  <si>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</si>
  <si>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</si>
  <si>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</si>
  <si>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</si>
  <si>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</si>
  <si>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</si>
  <si>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</si>
  <si>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</si>
  <si>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</si>
  <si>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</si>
  <si>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</si>
  <si>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</si>
  <si>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</si>
  <si>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</si>
  <si>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</si>
  <si>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</si>
  <si>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</si>
  <si>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</si>
  <si>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</si>
  <si>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</si>
  <si>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</si>
  <si>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</si>
  <si>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</si>
  <si>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</si>
  <si>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</si>
  <si>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</si>
  <si>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</si>
  <si>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</si>
  <si>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</si>
  <si>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</si>
  <si>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</si>
  <si>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</si>
  <si>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</si>
  <si>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</si>
  <si>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</si>
  <si>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</si>
  <si>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</si>
  <si>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</si>
  <si>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</si>
  <si>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</si>
  <si>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</si>
  <si>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</si>
  <si>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</si>
  <si>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</si>
  <si>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</si>
  <si>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</si>
  <si>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</si>
  <si>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</si>
  <si>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</si>
  <si>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</si>
  <si>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</si>
  <si>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</si>
  <si>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</si>
  <si>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</si>
  <si>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</si>
  <si>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</si>
  <si>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</si>
  <si>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</si>
  <si>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</si>
  <si>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</si>
  <si>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</si>
  <si>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</si>
  <si>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</si>
  <si>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</si>
  <si>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</si>
  <si>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</si>
  <si>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</si>
  <si>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</si>
  <si>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</si>
  <si>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</si>
  <si>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</si>
  <si>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</si>
  <si>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</si>
  <si>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</si>
  <si>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</si>
  <si>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</si>
  <si>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</si>
  <si>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</si>
  <si>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</si>
  <si>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</si>
  <si>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</si>
  <si>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</si>
  <si>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</si>
  <si>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</si>
  <si>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</si>
  <si>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</si>
  <si>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</si>
  <si>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</si>
  <si>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</si>
  <si>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</si>
  <si>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</si>
  <si>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</si>
  <si>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</si>
  <si>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</si>
  <si>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</si>
  <si>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</si>
  <si>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</si>
  <si>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</si>
  <si>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</si>
  <si>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</si>
  <si>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</si>
  <si>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</si>
  <si>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</si>
  <si>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</si>
  <si>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</si>
  <si>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</si>
  <si>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</si>
  <si>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</si>
  <si>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</si>
  <si>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</si>
  <si>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</si>
  <si>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</si>
  <si>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</si>
  <si>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</si>
  <si>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</si>
  <si>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</si>
  <si>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</si>
  <si>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</si>
  <si>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</si>
  <si>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</si>
  <si>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</si>
  <si>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</si>
  <si>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</si>
  <si>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</si>
  <si>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</si>
  <si>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</si>
  <si>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</si>
  <si>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</si>
  <si>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</si>
  <si>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</si>
  <si>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</si>
  <si>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</si>
  <si>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</si>
  <si>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</si>
  <si>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</si>
  <si>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</si>
  <si>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</si>
  <si>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</si>
  <si>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</si>
  <si>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</si>
  <si>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</si>
  <si>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</si>
  <si>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</si>
  <si>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</si>
  <si>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</si>
  <si>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</si>
  <si>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</si>
  <si>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</si>
  <si>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</si>
  <si>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</si>
  <si>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</si>
  <si>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</si>
  <si>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</si>
  <si>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</si>
  <si>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</si>
  <si>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</si>
  <si>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</si>
  <si>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</si>
  <si>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</si>
  <si>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</si>
  <si>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</si>
  <si>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</si>
  <si>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</si>
  <si>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</si>
  <si>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</si>
  <si>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</si>
  <si>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</si>
  <si>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</si>
  <si>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</si>
  <si>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</si>
  <si>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</si>
  <si>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</si>
  <si>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</si>
  <si>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</si>
  <si>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</si>
  <si>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</si>
  <si>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</si>
  <si>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</si>
  <si>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</si>
  <si>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</si>
  <si>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</si>
  <si>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</si>
  <si>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</si>
  <si>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</si>
  <si>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</si>
  <si>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exposé</t>
  </si>
  <si>
    <t>note anglais</t>
  </si>
  <si>
    <t>Statut alternant</t>
  </si>
  <si>
    <t>nombre ECTS validables</t>
  </si>
  <si>
    <t>nombre ECTS validés</t>
  </si>
  <si>
    <t>nombre crédits 
ECTS validables</t>
  </si>
  <si>
    <t>note finale DS Physique des composants</t>
  </si>
  <si>
    <t>note DS Physique Quantique</t>
  </si>
  <si>
    <t xml:space="preserve">note TP 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</si>
  <si>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</si>
  <si>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</si>
  <si>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</si>
  <si>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</si>
  <si>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</si>
  <si>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A5</t>
  </si>
  <si>
    <t>coeff 0,5</t>
  </si>
  <si>
    <t>coeff 1,5</t>
  </si>
  <si>
    <t>moyenne
arrondie</t>
  </si>
  <si>
    <t xml:space="preserve">Nb. 
d'heures </t>
  </si>
  <si>
    <t>Coeff
ECUE</t>
  </si>
  <si>
    <t>Coeff
notes</t>
  </si>
  <si>
    <t xml:space="preserve">Nb.
d'heures </t>
  </si>
  <si>
    <t>moyennearrondie</t>
  </si>
  <si>
    <t>nombre crédits ECTS validés</t>
  </si>
  <si>
    <t>nombre crédits ECTS encore à valider</t>
  </si>
  <si>
    <t>Mathématiques</t>
  </si>
  <si>
    <t>Physique &amp; Sciences de l'ingénieur</t>
  </si>
  <si>
    <t>Physique</t>
  </si>
  <si>
    <t>Info Algo et développement</t>
  </si>
  <si>
    <t>Culture Numérique</t>
  </si>
  <si>
    <t>Humanité</t>
  </si>
  <si>
    <t>Modules électifs selon cycle</t>
  </si>
  <si>
    <t>Autorisation départ à l'étranger A4 
(sauf UQAC)</t>
  </si>
  <si>
    <t>Autorisation départ à l'étranger A4 
(seulement UQAC)</t>
  </si>
  <si>
    <t>condition remplies pour diplôme?</t>
  </si>
  <si>
    <t>nombre de semaines passées à l'étranger 
(validable par bloc de 4 minimum et au moins 17 au total)</t>
  </si>
  <si>
    <t>stage associatif validé?</t>
  </si>
  <si>
    <t>stage ouvrier validé?</t>
  </si>
  <si>
    <t>heures de club PR validées</t>
  </si>
  <si>
    <t>stage technique validé?</t>
  </si>
  <si>
    <t>stage de fin d'études validé?</t>
  </si>
  <si>
    <t>score TOIEC</t>
  </si>
  <si>
    <t>autre diploome anglais niveau B2 ou +</t>
  </si>
  <si>
    <t>Semestre</t>
  </si>
  <si>
    <t>Moyenne semestre</t>
  </si>
  <si>
    <t>GPA semestre</t>
  </si>
  <si>
    <t>Année</t>
  </si>
  <si>
    <t>Moyenne année</t>
  </si>
  <si>
    <t>Nombre étudiants dans la classe</t>
  </si>
  <si>
    <t>GPA</t>
  </si>
  <si>
    <t>Grade</t>
  </si>
  <si>
    <t>Classement</t>
  </si>
  <si>
    <t>Nombre étudiants</t>
  </si>
  <si>
    <t>nombre étudiants</t>
  </si>
  <si>
    <t>classement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</si>
</sst>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0" fillId="2" borderId="0" xfId="0" applyFill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8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me'!$B$11:$K$11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me'!$B$12:$K$12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me'!$B$11:$K$11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me'!$B$13:$K$13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me'!$B$11:$K$11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me'!$B$14:$K$14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me'!$A$15</c:f>
              <c:strCache>
                <c:ptCount val="1"/>
                <c:pt idx="0">
                  <c:v>GPA semestre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'Read me'!$B$15:$K$15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6-4C92-A622-9FE4F2BA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389391"/>
        <c:axId val="1246389871"/>
      </c:lineChart>
      <c:catAx>
        <c:axId val="124638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389871"/>
        <c:crosses val="autoZero"/>
        <c:auto val="1"/>
        <c:lblAlgn val="ctr"/>
        <c:lblOffset val="100"/>
        <c:noMultiLvlLbl val="0"/>
      </c:catAx>
      <c:valAx>
        <c:axId val="12463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3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6120</xdr:rowOff>
    </xdr:from>
    <xdr:to>
      <xdr:col>10</xdr:col>
      <xdr:colOff>775335</xdr:colOff>
      <xdr:row>54</xdr:row>
      <xdr:rowOff>174625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792827</xdr:colOff>
      <xdr:row>18</xdr:row>
      <xdr:rowOff>11315</xdr:rowOff>
    </xdr:from>
    <xdr:to>
      <xdr:col>11</xdr:col>
      <xdr:colOff>0</xdr:colOff>
      <xdr:row>33</xdr:row>
      <xdr:rowOff>161636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2B56FB-EDD3-18B9-7E60-DAA2C814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34"/>
  <sheetViews>
    <sheetView tabSelected="1" zoomScale="55" zoomScaleNormal="55" workbookViewId="0">
      <selection activeCell="Q16" sqref="Q16"/>
    </sheetView>
  </sheetViews>
  <sheetFormatPr defaultColWidth="10.9453125" defaultRowHeight="14.4" x14ac:dyDescent="0.55000000000000004"/>
  <cols>
    <col min="1" max="1" width="33.4726562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277</v>
      </c>
      <c r="B5" t="s">
        <v>235</v>
      </c>
    </row>
    <row r="7" spans="1:11" x14ac:dyDescent="0.55000000000000004">
      <c r="A7" s="1" t="s">
        <v>318</v>
      </c>
      <c r="B7" s="20" t="s">
        <v>12</v>
      </c>
      <c r="C7" s="20" t="s">
        <v>14</v>
      </c>
      <c r="D7" s="20" t="s">
        <v>15</v>
      </c>
      <c r="E7" s="20" t="s">
        <v>16</v>
      </c>
      <c r="F7" s="20" t="s">
        <v>17</v>
      </c>
      <c r="G7" s="20" t="s">
        <v>18</v>
      </c>
      <c r="H7" s="20" t="s">
        <v>19</v>
      </c>
      <c r="I7" s="20" t="s">
        <v>20</v>
      </c>
      <c r="J7" s="20" t="s">
        <v>21</v>
      </c>
      <c r="K7" s="20" t="s">
        <v>22</v>
      </c>
    </row>
    <row r="8" spans="1:11" x14ac:dyDescent="0.55000000000000004">
      <c r="A8" s="1" t="s">
        <v>323</v>
      </c>
      <c r="B8" s="20">
        <v>35</v>
      </c>
      <c r="C8" s="20">
        <v>35</v>
      </c>
      <c r="D8" s="20">
        <v>35</v>
      </c>
      <c r="E8" s="20">
        <v>35</v>
      </c>
      <c r="F8" s="20">
        <v>35</v>
      </c>
      <c r="G8" s="20">
        <v>35</v>
      </c>
      <c r="H8" s="20">
        <v>35</v>
      </c>
      <c r="I8" s="20">
        <v>35</v>
      </c>
      <c r="J8" s="20">
        <v>35</v>
      </c>
      <c r="K8" s="20">
        <v>35</v>
      </c>
    </row>
    <row r="10" spans="1:11" x14ac:dyDescent="0.55000000000000004">
      <c r="A10" s="1" t="s">
        <v>11</v>
      </c>
    </row>
    <row r="11" spans="1:11" x14ac:dyDescent="0.55000000000000004">
      <c r="A11" s="1" t="s">
        <v>318</v>
      </c>
      <c r="B11" s="20" t="s">
        <v>12</v>
      </c>
      <c r="C11" s="20" t="s">
        <v>14</v>
      </c>
      <c r="D11" s="20" t="s">
        <v>15</v>
      </c>
      <c r="E11" s="20" t="s">
        <v>16</v>
      </c>
      <c r="F11" s="20" t="s">
        <v>17</v>
      </c>
      <c r="G11" s="20" t="s">
        <v>18</v>
      </c>
      <c r="H11" s="20" t="s">
        <v>19</v>
      </c>
      <c r="I11" s="20" t="s">
        <v>20</v>
      </c>
      <c r="J11" s="20" t="s">
        <v>21</v>
      </c>
      <c r="K11" s="20" t="s">
        <v>22</v>
      </c>
    </row>
    <row r="12" spans="1:11" ht="0.3" customHeight="1" x14ac:dyDescent="0.55000000000000004">
      <c r="B12" s="2">
        <v>10</v>
      </c>
      <c r="C12" s="2">
        <v>10</v>
      </c>
      <c r="D12" s="2">
        <v>10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</row>
    <row r="13" spans="1:11" ht="0.3" customHeight="1" x14ac:dyDescent="0.55000000000000004">
      <c r="B13" s="2">
        <v>13</v>
      </c>
      <c r="C13" s="2">
        <v>13</v>
      </c>
      <c r="D13" s="2">
        <v>13</v>
      </c>
      <c r="E13" s="2">
        <v>13</v>
      </c>
      <c r="F13" s="2">
        <v>13</v>
      </c>
      <c r="G13" s="11">
        <v>13</v>
      </c>
      <c r="H13" s="11">
        <v>13</v>
      </c>
      <c r="I13" s="11">
        <v>13</v>
      </c>
      <c r="J13" s="11">
        <v>13</v>
      </c>
      <c r="K13" s="11">
        <v>13</v>
      </c>
    </row>
    <row r="14" spans="1:11" x14ac:dyDescent="0.55000000000000004">
      <c r="A14" s="1" t="s">
        <v>319</v>
      </c>
      <c r="B14" s="19">
        <f>'Bulletin S1'!B31</f>
        <v>10</v>
      </c>
      <c r="C14" s="19">
        <f>'Bulletin S2'!B31</f>
        <v>10</v>
      </c>
      <c r="D14" s="19">
        <f>'Bulletin S3'!B31</f>
        <v>10</v>
      </c>
      <c r="E14" s="19">
        <f>'Bulletin S4'!B30</f>
        <v>10</v>
      </c>
      <c r="F14" s="19">
        <f>'Bulletin S5'!B36</f>
        <v>10</v>
      </c>
      <c r="G14" s="19">
        <f>'Bulletin S6'!B36</f>
        <v>10</v>
      </c>
      <c r="H14" s="19">
        <f>'Bulletin S7'!B34</f>
        <v>10</v>
      </c>
      <c r="I14" s="19">
        <f>'Bulletin S8'!B20</f>
        <v>10</v>
      </c>
      <c r="J14" s="19">
        <f>'Bulletin S9'!B33</f>
        <v>10</v>
      </c>
      <c r="K14" s="19">
        <f>'Bulletin S10'!B15</f>
        <v>10</v>
      </c>
    </row>
    <row r="15" spans="1:11" x14ac:dyDescent="0.55000000000000004">
      <c r="A15" s="1" t="s">
        <v>320</v>
      </c>
      <c r="B15" s="21">
        <f>'Bulletin S1'!B36</f>
        <v>2</v>
      </c>
      <c r="C15" s="21">
        <f>'Bulletin S2'!B36</f>
        <v>2</v>
      </c>
      <c r="D15" s="21">
        <f>'Bulletin S3'!B36</f>
        <v>2</v>
      </c>
      <c r="E15" s="21">
        <f>'Bulletin S4'!B35</f>
        <v>2</v>
      </c>
      <c r="F15" s="21">
        <f>'Bulletin S5'!B41</f>
        <v>2</v>
      </c>
      <c r="G15" s="21">
        <f>'Bulletin S6'!B41</f>
        <v>2</v>
      </c>
      <c r="H15" s="21">
        <f>'Bulletin S7'!B39</f>
        <v>2</v>
      </c>
      <c r="I15" s="21">
        <f>'Bulletin S8'!B25</f>
        <v>2</v>
      </c>
      <c r="J15" s="21">
        <f>'Bulletin S9'!B38</f>
        <v>2</v>
      </c>
      <c r="K15" s="21">
        <f>'Bulletin S10'!B20</f>
        <v>2</v>
      </c>
    </row>
    <row r="16" spans="1:11" x14ac:dyDescent="0.55000000000000004">
      <c r="A16" s="1" t="s">
        <v>321</v>
      </c>
      <c r="B16" s="24" t="s">
        <v>13</v>
      </c>
      <c r="C16" s="25"/>
      <c r="D16" s="24" t="s">
        <v>23</v>
      </c>
      <c r="E16" s="25"/>
      <c r="F16" s="24" t="s">
        <v>24</v>
      </c>
      <c r="G16" s="25"/>
      <c r="H16" s="24" t="s">
        <v>25</v>
      </c>
      <c r="I16" s="25"/>
      <c r="J16" s="24" t="s">
        <v>26</v>
      </c>
      <c r="K16" s="26"/>
    </row>
    <row r="17" spans="1:11" x14ac:dyDescent="0.55000000000000004">
      <c r="A17" s="1" t="s">
        <v>322</v>
      </c>
      <c r="B17" s="22">
        <f>AVERAGE(B14,C14)</f>
        <v>10</v>
      </c>
      <c r="C17" s="23"/>
      <c r="D17" s="22">
        <f>AVERAGE(D14,E14)</f>
        <v>10</v>
      </c>
      <c r="E17" s="23"/>
      <c r="F17" s="22">
        <f>AVERAGE(F14,G14)</f>
        <v>10</v>
      </c>
      <c r="G17" s="23"/>
      <c r="H17" s="22">
        <f>AVERAGE(H14,I14)</f>
        <v>10</v>
      </c>
      <c r="I17" s="23"/>
      <c r="J17" s="22">
        <f>AVERAGE(J14,K14)</f>
        <v>10</v>
      </c>
      <c r="K17" s="23"/>
    </row>
    <row r="19" spans="1:11" ht="28.8" x14ac:dyDescent="0.55000000000000004">
      <c r="A19" s="16" t="s">
        <v>308</v>
      </c>
      <c r="B19" s="18" t="str">
        <f>IF(AND(E14+F14+G14&gt;=13*3, B4="CIR"),"OUI","NON")</f>
        <v>NON</v>
      </c>
    </row>
    <row r="20" spans="1:11" ht="28.8" x14ac:dyDescent="0.55000000000000004">
      <c r="A20" s="16" t="s">
        <v>307</v>
      </c>
      <c r="B20" s="18" t="str">
        <f>IF(F14+G14&gt;=26,"OUI","NON")</f>
        <v>NON</v>
      </c>
      <c r="D20" s="15"/>
    </row>
    <row r="21" spans="1:11" x14ac:dyDescent="0.55000000000000004">
      <c r="A21" s="1" t="s">
        <v>289</v>
      </c>
      <c r="B21" s="17" t="str">
        <f>IF(F14+G14+H14+I14&gt;=13*4,"OUI","NON")</f>
        <v>NON</v>
      </c>
      <c r="D21" s="15"/>
    </row>
    <row r="22" spans="1:11" x14ac:dyDescent="0.55000000000000004">
      <c r="B22" s="17"/>
      <c r="D22" s="15"/>
    </row>
    <row r="23" spans="1:11" x14ac:dyDescent="0.55000000000000004">
      <c r="A23" s="1" t="s">
        <v>298</v>
      </c>
      <c r="B23" s="17">
        <f>'Bulletin S1'!B33 + 'Bulletin S2'!B33 + 'Bulletin S3'!B33 + 'Bulletin S4'!B32 + 'Bulletin S5'!B38 + 'Bulletin S6'!B38 + 'Bulletin S7'!B36 + 'Bulletin S8'!B22 + 'Bulletin S9'!B35 + 'Bulletin S10'!B17</f>
        <v>300</v>
      </c>
    </row>
    <row r="24" spans="1:11" x14ac:dyDescent="0.55000000000000004">
      <c r="A24" s="1" t="s">
        <v>299</v>
      </c>
      <c r="B24" s="17">
        <f>300-B23</f>
        <v>0</v>
      </c>
    </row>
    <row r="25" spans="1:11" ht="43.2" x14ac:dyDescent="0.55000000000000004">
      <c r="A25" s="16" t="s">
        <v>310</v>
      </c>
      <c r="B25" s="18">
        <v>0</v>
      </c>
    </row>
    <row r="26" spans="1:11" x14ac:dyDescent="0.55000000000000004">
      <c r="A26" s="1" t="s">
        <v>311</v>
      </c>
      <c r="B26" s="17" t="s">
        <v>235</v>
      </c>
    </row>
    <row r="27" spans="1:11" x14ac:dyDescent="0.55000000000000004">
      <c r="A27" s="1" t="s">
        <v>312</v>
      </c>
      <c r="B27" s="17" t="s">
        <v>235</v>
      </c>
    </row>
    <row r="28" spans="1:11" x14ac:dyDescent="0.55000000000000004">
      <c r="A28" s="1" t="s">
        <v>313</v>
      </c>
      <c r="B28" s="17" t="s">
        <v>235</v>
      </c>
    </row>
    <row r="29" spans="1:11" x14ac:dyDescent="0.55000000000000004">
      <c r="A29" s="1" t="s">
        <v>314</v>
      </c>
      <c r="B29" s="17" t="s">
        <v>235</v>
      </c>
    </row>
    <row r="30" spans="1:11" x14ac:dyDescent="0.55000000000000004">
      <c r="A30" s="1" t="s">
        <v>315</v>
      </c>
      <c r="B30" s="17" t="s">
        <v>235</v>
      </c>
    </row>
    <row r="31" spans="1:11" x14ac:dyDescent="0.55000000000000004">
      <c r="A31" s="1" t="s">
        <v>316</v>
      </c>
      <c r="B31" s="17">
        <v>0</v>
      </c>
    </row>
    <row r="32" spans="1:11" x14ac:dyDescent="0.55000000000000004">
      <c r="A32" s="1" t="s">
        <v>317</v>
      </c>
      <c r="B32" s="17" t="s">
        <v>235</v>
      </c>
    </row>
    <row r="33" spans="1:2" x14ac:dyDescent="0.55000000000000004">
      <c r="B33" s="15"/>
    </row>
    <row r="34" spans="1:2" x14ac:dyDescent="0.55000000000000004">
      <c r="A34" s="1" t="s">
        <v>309</v>
      </c>
      <c r="B34" s="17" t="str">
        <f>IF(AND(B23=300, B25&gt;=17, B26="OUI", B27="OUI", B28="OUI", B29="OUI", B30="OUI", OR(B31&gt;=785,B32="OUI")),"OUI","NON")</f>
        <v>NON</v>
      </c>
    </row>
  </sheetData>
  <mergeCells count="10">
    <mergeCell ref="B16:C16"/>
    <mergeCell ref="D16:E16"/>
    <mergeCell ref="F16:G16"/>
    <mergeCell ref="H16:I16"/>
    <mergeCell ref="J16:K16"/>
    <mergeCell ref="B17:C17"/>
    <mergeCell ref="D17:E17"/>
    <mergeCell ref="F17:G17"/>
    <mergeCell ref="H17:I17"/>
    <mergeCell ref="J17:K17"/>
  </mergeCells>
  <phoneticPr fontId="1" type="noConversion"/>
  <conditionalFormatting sqref="B19:B22">
    <cfRule type="expression" dxfId="281" priority="31">
      <formula>B19="OUI"</formula>
    </cfRule>
    <cfRule type="expression" dxfId="280" priority="32">
      <formula>B19="NON"</formula>
    </cfRule>
  </conditionalFormatting>
  <conditionalFormatting sqref="B23">
    <cfRule type="expression" dxfId="279" priority="29">
      <formula>B23=300</formula>
    </cfRule>
    <cfRule type="expression" dxfId="278" priority="30">
      <formula>B23&lt;300</formula>
    </cfRule>
  </conditionalFormatting>
  <conditionalFormatting sqref="B24">
    <cfRule type="expression" dxfId="277" priority="27">
      <formula>B24=0</formula>
    </cfRule>
    <cfRule type="expression" dxfId="276" priority="28">
      <formula>B24&gt;0</formula>
    </cfRule>
  </conditionalFormatting>
  <conditionalFormatting sqref="B25">
    <cfRule type="expression" dxfId="275" priority="25">
      <formula>B25&gt;=17</formula>
    </cfRule>
    <cfRule type="expression" dxfId="274" priority="26">
      <formula>B25&lt;17</formula>
    </cfRule>
  </conditionalFormatting>
  <conditionalFormatting sqref="B26:B30">
    <cfRule type="expression" dxfId="273" priority="1">
      <formula>B26="OUI"</formula>
    </cfRule>
    <cfRule type="expression" dxfId="272" priority="2">
      <formula>B26="NON"</formula>
    </cfRule>
  </conditionalFormatting>
  <conditionalFormatting sqref="B31">
    <cfRule type="expression" dxfId="271" priority="23">
      <formula>B31&gt;=785</formula>
    </cfRule>
    <cfRule type="expression" dxfId="270" priority="24">
      <formula>B31&lt;785</formula>
    </cfRule>
  </conditionalFormatting>
  <conditionalFormatting sqref="B32">
    <cfRule type="expression" dxfId="269" priority="21">
      <formula>B32="OUI"</formula>
    </cfRule>
    <cfRule type="expression" dxfId="268" priority="22">
      <formula>B32="NON"</formula>
    </cfRule>
  </conditionalFormatting>
  <conditionalFormatting sqref="B34">
    <cfRule type="expression" dxfId="267" priority="3">
      <formula>B34="OUI"</formula>
    </cfRule>
    <cfRule type="expression" dxfId="266" priority="4">
      <formula>B34="NON"</formula>
    </cfRule>
  </conditionalFormatting>
  <conditionalFormatting sqref="B17:J17">
    <cfRule type="expression" dxfId="265" priority="55">
      <formula>AND(B14&gt;=10, C14&gt;=10)</formula>
    </cfRule>
    <cfRule type="expression" dxfId="264" priority="56">
      <formula>OR(B14&lt;10, C14&lt;10)</formula>
    </cfRule>
  </conditionalFormatting>
  <conditionalFormatting sqref="B12:K14">
    <cfRule type="cellIs" dxfId="263" priority="51" operator="between">
      <formula>10</formula>
      <formula>20</formula>
    </cfRule>
    <cfRule type="cellIs" dxfId="262" priority="52" operator="between">
      <formula>0</formula>
      <formula>10</formula>
    </cfRule>
  </conditionalFormatting>
  <conditionalFormatting sqref="K17">
    <cfRule type="expression" dxfId="261" priority="53">
      <formula>AND(K14&gt;=10, #REF!&gt;=10)</formula>
    </cfRule>
    <cfRule type="expression" dxfId="260" priority="54">
      <formula>OR(K14&lt;10, #REF!&lt;10)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 B32 B26:B30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L35"/>
  <sheetViews>
    <sheetView workbookViewId="0">
      <selection activeCell="B33" sqref="B33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9453125" bestFit="1" customWidth="1"/>
    <col min="4" max="4" width="18.578125" bestFit="1" customWidth="1"/>
    <col min="6" max="6" width="6.89453125" bestFit="1" customWidth="1"/>
    <col min="8" max="8" width="18.3125" bestFit="1" customWidth="1"/>
    <col min="9" max="9" width="18.1015625" bestFit="1" customWidth="1"/>
    <col min="10" max="10" width="14.15625" bestFit="1" customWidth="1"/>
    <col min="11" max="11" width="11.578125" customWidth="1"/>
  </cols>
  <sheetData>
    <row r="1" spans="1:12" ht="26.4" x14ac:dyDescent="1">
      <c r="A1" s="6" t="s">
        <v>285</v>
      </c>
      <c r="B1" s="7"/>
    </row>
    <row r="2" spans="1:12" ht="39.6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222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300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  <c r="J4" s="14"/>
      <c r="K4">
        <f>'Read me'!E8</f>
        <v>35</v>
      </c>
      <c r="L4" s="14"/>
    </row>
    <row r="5" spans="1:12" x14ac:dyDescent="0.55000000000000004">
      <c r="B5">
        <v>30</v>
      </c>
      <c r="D5" t="s">
        <v>36</v>
      </c>
      <c r="E5">
        <v>10</v>
      </c>
      <c r="F5">
        <f>C4/3</f>
        <v>5</v>
      </c>
    </row>
    <row r="6" spans="1:12" x14ac:dyDescent="0.55000000000000004">
      <c r="B6">
        <v>30</v>
      </c>
      <c r="D6" t="s">
        <v>38</v>
      </c>
      <c r="E6">
        <v>10</v>
      </c>
      <c r="F6">
        <f>C4/3</f>
        <v>5</v>
      </c>
    </row>
    <row r="7" spans="1:12" x14ac:dyDescent="0.55000000000000004">
      <c r="B7">
        <v>30</v>
      </c>
      <c r="D7" t="s">
        <v>39</v>
      </c>
      <c r="E7">
        <v>10</v>
      </c>
      <c r="F7">
        <f>C4/3</f>
        <v>5</v>
      </c>
    </row>
    <row r="9" spans="1:12" x14ac:dyDescent="0.55000000000000004">
      <c r="A9" s="7" t="s">
        <v>301</v>
      </c>
      <c r="B9">
        <f>B10+B11+B12+B13</f>
        <v>105</v>
      </c>
      <c r="C9">
        <f>C10+C13</f>
        <v>16.5</v>
      </c>
      <c r="D9" t="s">
        <v>193</v>
      </c>
      <c r="E9">
        <f>(E10*F10+E11*F11+E12*F12+E13*F13)/(C9)</f>
        <v>10</v>
      </c>
      <c r="G9">
        <f>ROUND(E9, 2)</f>
        <v>10</v>
      </c>
      <c r="H9">
        <v>8</v>
      </c>
      <c r="I9" s="14">
        <f>IF(G9&gt;=10,H9,0)</f>
        <v>8</v>
      </c>
      <c r="J9" s="14"/>
      <c r="K9">
        <f>'Read me'!E8</f>
        <v>35</v>
      </c>
      <c r="L9" s="14"/>
    </row>
    <row r="10" spans="1:12" x14ac:dyDescent="0.55000000000000004">
      <c r="A10" t="s">
        <v>302</v>
      </c>
      <c r="B10">
        <v>30</v>
      </c>
      <c r="C10">
        <v>11.5</v>
      </c>
      <c r="D10" t="s">
        <v>40</v>
      </c>
      <c r="E10">
        <v>10</v>
      </c>
      <c r="F10">
        <f>C10*2/5</f>
        <v>4.5999999999999996</v>
      </c>
    </row>
    <row r="11" spans="1:12" x14ac:dyDescent="0.55000000000000004">
      <c r="B11">
        <v>30</v>
      </c>
      <c r="D11" t="s">
        <v>41</v>
      </c>
      <c r="E11">
        <v>10</v>
      </c>
      <c r="F11">
        <f>C10*2/5</f>
        <v>4.5999999999999996</v>
      </c>
    </row>
    <row r="12" spans="1:12" x14ac:dyDescent="0.55000000000000004">
      <c r="B12">
        <v>15</v>
      </c>
      <c r="D12" t="s">
        <v>42</v>
      </c>
      <c r="E12">
        <v>10</v>
      </c>
      <c r="F12">
        <f>C10/5</f>
        <v>2.2999999999999998</v>
      </c>
    </row>
    <row r="13" spans="1:12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>
        <f>C13</f>
        <v>5</v>
      </c>
    </row>
    <row r="15" spans="1:12" x14ac:dyDescent="0.55000000000000004">
      <c r="A15" s="7" t="s">
        <v>303</v>
      </c>
      <c r="B15">
        <f>B16+B17</f>
        <v>75</v>
      </c>
      <c r="C15">
        <v>12.5</v>
      </c>
      <c r="D15" t="s">
        <v>193</v>
      </c>
      <c r="E15">
        <f>(E16*F16+E17*F17)/(C15)</f>
        <v>10</v>
      </c>
      <c r="G15">
        <f>ROUND(E15,2)</f>
        <v>10</v>
      </c>
      <c r="H15">
        <v>4</v>
      </c>
      <c r="I15">
        <f>IF(G15&gt;=10,H15,0)</f>
        <v>4</v>
      </c>
      <c r="J15" s="14"/>
      <c r="K15">
        <f>'Read me'!E8</f>
        <v>35</v>
      </c>
      <c r="L15" s="14"/>
    </row>
    <row r="16" spans="1:12" x14ac:dyDescent="0.55000000000000004">
      <c r="A16" t="str">
        <f>IF('Read me'!B4="CIR","Algo C++","Python")</f>
        <v>Python</v>
      </c>
      <c r="B16">
        <v>30</v>
      </c>
      <c r="C16">
        <v>5</v>
      </c>
      <c r="D16" t="s">
        <v>5</v>
      </c>
      <c r="E16">
        <v>10</v>
      </c>
      <c r="F16">
        <f>C16</f>
        <v>5</v>
      </c>
    </row>
    <row r="17" spans="1:12" x14ac:dyDescent="0.55000000000000004">
      <c r="A17" t="s">
        <v>60</v>
      </c>
      <c r="B17">
        <v>45</v>
      </c>
      <c r="C17">
        <v>7.5</v>
      </c>
      <c r="D17" t="s">
        <v>5</v>
      </c>
      <c r="E17">
        <v>10</v>
      </c>
      <c r="F17">
        <f>C17</f>
        <v>7.5</v>
      </c>
    </row>
    <row r="19" spans="1:12" x14ac:dyDescent="0.55000000000000004">
      <c r="A19" s="7" t="s">
        <v>305</v>
      </c>
      <c r="B19">
        <f>B20+B21</f>
        <v>60</v>
      </c>
      <c r="C19">
        <f>C20+C21</f>
        <v>10</v>
      </c>
      <c r="D19" t="s">
        <v>193</v>
      </c>
      <c r="E19">
        <f>(E20*F20+E21*F21)/(C19)</f>
        <v>10</v>
      </c>
      <c r="G19">
        <f>ROUND(E19,2)</f>
        <v>10</v>
      </c>
      <c r="H19">
        <v>5</v>
      </c>
      <c r="I19">
        <f>IF(G19&gt;=10,H19,0)</f>
        <v>5</v>
      </c>
      <c r="J19" s="14"/>
      <c r="K19">
        <f>'Read me'!E8</f>
        <v>35</v>
      </c>
      <c r="L19" s="14"/>
    </row>
    <row r="20" spans="1:12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>
        <f>C20</f>
        <v>5</v>
      </c>
    </row>
    <row r="21" spans="1:12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>
        <f>C21</f>
        <v>5</v>
      </c>
    </row>
    <row r="23" spans="1:12" x14ac:dyDescent="0.55000000000000004">
      <c r="A23" s="7" t="s">
        <v>306</v>
      </c>
      <c r="B23">
        <f>B24+B25+B26</f>
        <v>90</v>
      </c>
      <c r="C23">
        <f>C24+C26+C25</f>
        <v>15</v>
      </c>
      <c r="D23" t="s">
        <v>193</v>
      </c>
      <c r="E23">
        <f>(E24*F24+E25*F25+E26*F26)/(C23)</f>
        <v>10</v>
      </c>
      <c r="G23">
        <f>ROUND(E23,2)</f>
        <v>10</v>
      </c>
      <c r="H23">
        <v>6</v>
      </c>
      <c r="I23">
        <f>IF(G23&gt;=10,H23,0)</f>
        <v>6</v>
      </c>
      <c r="J23" s="14"/>
      <c r="K23">
        <f>'Read me'!E8</f>
        <v>35</v>
      </c>
      <c r="L23" s="14"/>
    </row>
    <row r="24" spans="1:12" x14ac:dyDescent="0.55000000000000004">
      <c r="A24" t="str">
        <f>IF('Read me'!B4="CGSI","Math",IF('Read me'!B4="CIR","Communication Web",IF('Read me'!B4="BIOST","Microbiologie",IF('Read me'!B4="CENT"," ",IF('Read me'!B4="EST","Ecologie appliquée",IF('Read me'!B4="BIAST","Ecologie appliquée",IF('Read me'!B4="MECA","Sciences de l'ingénieur compléments","autre")))))))</f>
        <v>Math</v>
      </c>
      <c r="B24">
        <f>IF('Read me'!B4="CGSI",30,IF('Read me'!B4="CIR",30,IF('Read me'!B4="BIOST",30,IF('Read me'!B4="CENT",0,IF('Read me'!B4="EST",30,IF('Read me'!B4="BIAST",30,IF('Read me'!B4="MECA",30,0)))))))</f>
        <v>30</v>
      </c>
      <c r="C24">
        <f>IF('Read me'!B4="CGSI",5,IF('Read me'!B4="CIR",5,IF('Read me'!B4="BIOST",5,IF('Read me'!B4="CENT",0,IF('Read me'!B4="EST",5,IF('Read me'!B4="BIAST",5,IF('Read me'!B4="MECA",5,0)))))))</f>
        <v>5</v>
      </c>
      <c r="D24" t="s">
        <v>5</v>
      </c>
      <c r="E24">
        <v>10</v>
      </c>
      <c r="F24">
        <f>C24</f>
        <v>5</v>
      </c>
    </row>
    <row r="25" spans="1:12" x14ac:dyDescent="0.55000000000000004">
      <c r="A25" t="str">
        <f>IF('Read me'!B4="CGSI","Physique",IF('Read me'!B4="CIR","Python",IF('Read me'!B4="BIOST","Pharmaco-toxicologie",IF('Read me'!B4="CENT"," ",IF('Read me'!B4="EST","Ecotoxicologie",IF('Read me'!B4="BIAST","Agro géné",IF('Read me'!B4="MECA","Mécanique","autre")))))))</f>
        <v>Physique</v>
      </c>
      <c r="B25">
        <f>IF('Read me'!B4="CGSI",30,IF('Read me'!B4="CIR",30,IF('Read me'!B4="BIOST",30,IF('Read me'!B4="CENT",0,IF('Read me'!B4="EST",15,IF('Read me'!B4="BIAST",30,IF('Read me'!B4="MECA",60,0)))))))</f>
        <v>30</v>
      </c>
      <c r="C25">
        <f>IF('Read me'!B4="CGSI",5,IF('Read me'!B4="CIR",5,IF('Read me'!B4="BIOST",5,IF('Read me'!B4="CENT",0,IF('Read me'!B4="EST",2.5,IF('Read me'!B4="BIAST",5,IF('Read me'!B4="MECA",10,0)))))))</f>
        <v>5</v>
      </c>
      <c r="D25" t="s">
        <v>5</v>
      </c>
      <c r="E25">
        <v>10</v>
      </c>
      <c r="F25">
        <f>C25</f>
        <v>5</v>
      </c>
    </row>
    <row r="26" spans="1:12" x14ac:dyDescent="0.55000000000000004">
      <c r="A26" t="str">
        <f>IF('Read me'!B4="CGSI","TIPE robotique",IF('Read me'!B4="CIR","Réseaux",IF('Read me'!B4="BIOST","Physio humaine",IF('Read me'!B4="CENT"," ",IF('Read me'!B4="EST","Projet environnement",IF('Read me'!B4="BIAST","Génétique",IF('Read me'!B4="MECA"," ","autre")))))))</f>
        <v>TIPE robotique</v>
      </c>
      <c r="B26">
        <f>IF('Read me'!B4="CGSI",30,IF('Read me'!B4="CIR",30,IF('Read me'!B4="BIOST",30,IF('Read me'!B4="CENT",0,IF('Read me'!B4="EST",45,IF('Read me'!B4="BIAST",30,IF('Read me'!B4="MECA",0,0)))))))</f>
        <v>30</v>
      </c>
      <c r="C26">
        <f>IF('Read me'!B4="CGSI",5,IF('Read me'!B4="CIR",5,IF('Read me'!B4="BIOST",5,IF('Read me'!B4="CENT",0,IF('Read me'!B4="EST",7.5,IF('Read me'!B4="BIAST",5,IF('Read me'!B4="MECA",0,0)))))))</f>
        <v>5</v>
      </c>
      <c r="D26" t="str">
        <f>IF('Read me'!B4="MECA"," ","note")</f>
        <v>note</v>
      </c>
      <c r="E26">
        <v>10</v>
      </c>
      <c r="F26">
        <f>C26</f>
        <v>5</v>
      </c>
    </row>
    <row r="28" spans="1:12" x14ac:dyDescent="0.55000000000000004">
      <c r="A28" s="7" t="s">
        <v>219</v>
      </c>
      <c r="B28">
        <f>B23+B19+B15+B9+B4</f>
        <v>420</v>
      </c>
      <c r="C28">
        <f>C15+C9+C4+C19+C23</f>
        <v>69</v>
      </c>
    </row>
    <row r="29" spans="1:12" x14ac:dyDescent="0.55000000000000004">
      <c r="A29" s="7" t="s">
        <v>220</v>
      </c>
      <c r="B29" s="13">
        <f>(G4*C4+G9*C9+G15*C15+G19*C19+G23*C23)/C28</f>
        <v>10</v>
      </c>
    </row>
    <row r="30" spans="1:12" x14ac:dyDescent="0.55000000000000004">
      <c r="A30" s="7" t="s">
        <v>221</v>
      </c>
      <c r="B30" s="3">
        <f>ROUND(B29,2)</f>
        <v>10</v>
      </c>
    </row>
    <row r="31" spans="1:12" x14ac:dyDescent="0.55000000000000004">
      <c r="A31" s="7" t="s">
        <v>278</v>
      </c>
      <c r="B31">
        <f>H4+H9+H15+H19+H23</f>
        <v>30</v>
      </c>
    </row>
    <row r="32" spans="1:12" x14ac:dyDescent="0.55000000000000004">
      <c r="A32" s="7" t="s">
        <v>279</v>
      </c>
      <c r="B32">
        <f>I4+I9+I15+I19+I23</f>
        <v>30</v>
      </c>
    </row>
    <row r="33" spans="1:2" x14ac:dyDescent="0.55000000000000004">
      <c r="A33" s="7" t="s">
        <v>328</v>
      </c>
      <c r="B33">
        <f>'Read me'!E8</f>
        <v>35</v>
      </c>
    </row>
    <row r="34" spans="1:2" x14ac:dyDescent="0.55000000000000004">
      <c r="A34" s="7" t="s">
        <v>329</v>
      </c>
      <c r="B34" s="14"/>
    </row>
    <row r="35" spans="1:2" x14ac:dyDescent="0.55000000000000004">
      <c r="A35" s="7" t="s">
        <v>324</v>
      </c>
      <c r="B35" s="14">
        <v>2</v>
      </c>
    </row>
  </sheetData>
  <conditionalFormatting sqref="B30">
    <cfRule type="expression" dxfId="169" priority="19">
      <formula>B30&gt;11</formula>
    </cfRule>
    <cfRule type="expression" dxfId="168" priority="20">
      <formula>B30&gt;=10</formula>
    </cfRule>
    <cfRule type="expression" dxfId="167" priority="21">
      <formula>B30&lt;10</formula>
    </cfRule>
  </conditionalFormatting>
  <conditionalFormatting sqref="B32">
    <cfRule type="expression" dxfId="166" priority="11">
      <formula>B32=B31</formula>
    </cfRule>
    <cfRule type="expression" dxfId="165" priority="12">
      <formula>B32&lt;B31</formula>
    </cfRule>
  </conditionalFormatting>
  <conditionalFormatting sqref="G4">
    <cfRule type="expression" dxfId="164" priority="28">
      <formula>G4&gt;11</formula>
    </cfRule>
    <cfRule type="expression" dxfId="163" priority="29">
      <formula>G4&gt;=10</formula>
    </cfRule>
    <cfRule type="expression" dxfId="162" priority="30">
      <formula>G4&lt;10</formula>
    </cfRule>
  </conditionalFormatting>
  <conditionalFormatting sqref="G9">
    <cfRule type="expression" dxfId="161" priority="25">
      <formula>G9&gt;11</formula>
    </cfRule>
    <cfRule type="expression" dxfId="160" priority="26">
      <formula>G9&gt;=10</formula>
    </cfRule>
    <cfRule type="expression" dxfId="159" priority="27">
      <formula>G9&lt;10</formula>
    </cfRule>
  </conditionalFormatting>
  <conditionalFormatting sqref="G15">
    <cfRule type="expression" dxfId="158" priority="22">
      <formula>G15&gt;11</formula>
    </cfRule>
    <cfRule type="expression" dxfId="157" priority="23">
      <formula>G15&gt;=10</formula>
    </cfRule>
    <cfRule type="expression" dxfId="156" priority="24">
      <formula>G15&lt;10</formula>
    </cfRule>
  </conditionalFormatting>
  <conditionalFormatting sqref="G19">
    <cfRule type="expression" dxfId="155" priority="4">
      <formula>G19&gt;11</formula>
    </cfRule>
    <cfRule type="expression" dxfId="154" priority="5">
      <formula>G19&gt;=10</formula>
    </cfRule>
    <cfRule type="expression" dxfId="153" priority="6">
      <formula>G19&lt;10</formula>
    </cfRule>
  </conditionalFormatting>
  <conditionalFormatting sqref="G23">
    <cfRule type="expression" dxfId="152" priority="1">
      <formula>G23&gt;11</formula>
    </cfRule>
    <cfRule type="expression" dxfId="151" priority="2">
      <formula>G23&gt;=10</formula>
    </cfRule>
    <cfRule type="expression" dxfId="150" priority="3">
      <formula>G23&lt;10</formula>
    </cfRule>
  </conditionalFormatting>
  <conditionalFormatting sqref="I4">
    <cfRule type="expression" dxfId="149" priority="17">
      <formula>I4=H4</formula>
    </cfRule>
    <cfRule type="expression" dxfId="148" priority="18">
      <formula>I4&lt;H4</formula>
    </cfRule>
  </conditionalFormatting>
  <conditionalFormatting sqref="I9">
    <cfRule type="expression" dxfId="147" priority="15">
      <formula>I9=H9</formula>
    </cfRule>
    <cfRule type="expression" dxfId="146" priority="16">
      <formula>I9&lt;H9</formula>
    </cfRule>
  </conditionalFormatting>
  <conditionalFormatting sqref="I15">
    <cfRule type="expression" dxfId="145" priority="13">
      <formula>I15=H15</formula>
    </cfRule>
    <cfRule type="expression" dxfId="144" priority="14">
      <formula>I15&lt;H15</formula>
    </cfRule>
  </conditionalFormatting>
  <conditionalFormatting sqref="I19">
    <cfRule type="expression" dxfId="143" priority="9">
      <formula>I19=H19</formula>
    </cfRule>
    <cfRule type="expression" dxfId="142" priority="10">
      <formula>I19&lt;H19</formula>
    </cfRule>
  </conditionalFormatting>
  <conditionalFormatting sqref="I23">
    <cfRule type="expression" dxfId="141" priority="7">
      <formula>I23=H23</formula>
    </cfRule>
    <cfRule type="expression" dxfId="140" priority="8">
      <formula>I23&lt;H23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3"/>
  <sheetViews>
    <sheetView workbookViewId="0">
      <selection activeCell="G4" sqref="G4"/>
    </sheetView>
  </sheetViews>
  <sheetFormatPr defaultColWidth="10.9453125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t="s">
        <v>275</v>
      </c>
      <c r="B2" t="s">
        <v>128</v>
      </c>
      <c r="C2">
        <v>10</v>
      </c>
      <c r="G2" t="s">
        <v>290</v>
      </c>
    </row>
    <row r="3" spans="1:7" x14ac:dyDescent="0.55000000000000004">
      <c r="A3" t="s">
        <v>198</v>
      </c>
      <c r="B3" t="s">
        <v>128</v>
      </c>
      <c r="C3">
        <v>10</v>
      </c>
      <c r="G3" t="s">
        <v>291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E8FF-BACC-4AC9-A205-46AC401C6E4D}">
  <dimension ref="A1:L41"/>
  <sheetViews>
    <sheetView topLeftCell="A27" zoomScaleNormal="100" workbookViewId="0">
      <selection activeCell="B40" sqref="B40"/>
    </sheetView>
  </sheetViews>
  <sheetFormatPr defaultColWidth="10.9453125" defaultRowHeight="14.4" x14ac:dyDescent="0.55000000000000004"/>
  <cols>
    <col min="1" max="1" width="33.3671875" bestFit="1" customWidth="1"/>
    <col min="2" max="2" width="10.578125" bestFit="1" customWidth="1"/>
    <col min="3" max="3" width="6.89453125" bestFit="1" customWidth="1"/>
    <col min="4" max="4" width="32.312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8.734375" bestFit="1" customWidth="1"/>
    <col min="10" max="10" width="14.15625" bestFit="1" customWidth="1"/>
    <col min="11" max="11" width="12" customWidth="1"/>
  </cols>
  <sheetData>
    <row r="1" spans="1:12" ht="26.4" x14ac:dyDescent="1">
      <c r="A1" s="6" t="s">
        <v>258</v>
      </c>
      <c r="B1" s="7"/>
    </row>
    <row r="2" spans="1:12" ht="37.200000000000003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243</v>
      </c>
      <c r="B4">
        <f>B5+B6+B7+B10</f>
        <v>135</v>
      </c>
      <c r="C4">
        <f>C5+C6+C7+C10</f>
        <v>9</v>
      </c>
      <c r="D4" t="s">
        <v>193</v>
      </c>
      <c r="E4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  <c r="J4" s="14"/>
      <c r="K4">
        <f>'Read me'!F8</f>
        <v>35</v>
      </c>
      <c r="L4" s="14"/>
    </row>
    <row r="5" spans="1:12" x14ac:dyDescent="0.55000000000000004">
      <c r="A5" t="s">
        <v>259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12" x14ac:dyDescent="0.55000000000000004">
      <c r="A6" t="s">
        <v>260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12" x14ac:dyDescent="0.55000000000000004">
      <c r="A7" t="s">
        <v>127</v>
      </c>
      <c r="B7">
        <v>60</v>
      </c>
      <c r="C7">
        <f>F7+F8+F9</f>
        <v>4</v>
      </c>
      <c r="D7" t="s">
        <v>282</v>
      </c>
      <c r="E7">
        <v>10</v>
      </c>
      <c r="F7">
        <v>1</v>
      </c>
    </row>
    <row r="8" spans="1:12" x14ac:dyDescent="0.55000000000000004">
      <c r="D8" t="s">
        <v>281</v>
      </c>
      <c r="E8">
        <v>10</v>
      </c>
      <c r="F8">
        <v>2</v>
      </c>
    </row>
    <row r="9" spans="1:12" x14ac:dyDescent="0.55000000000000004">
      <c r="D9" t="s">
        <v>283</v>
      </c>
      <c r="E9">
        <v>10</v>
      </c>
      <c r="F9">
        <v>1</v>
      </c>
    </row>
    <row r="10" spans="1:12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('Notes S5'!C2*0.5+'Notes S5'!C3*1.5)/(F10)</f>
        <v>10</v>
      </c>
      <c r="F10">
        <v>2</v>
      </c>
    </row>
    <row r="12" spans="1:12" x14ac:dyDescent="0.55000000000000004">
      <c r="A12" s="7" t="s">
        <v>263</v>
      </c>
      <c r="B12">
        <f>B13+B15+B20+B22</f>
        <v>165</v>
      </c>
      <c r="C12">
        <f>C13+C15+C20+C22</f>
        <v>11</v>
      </c>
      <c r="D12" t="s">
        <v>193</v>
      </c>
      <c r="E12">
        <f>(E13*F13+E14*F14+E15*F15+E16*F16+E17*F17+E18*F18+E19*F19+E20*F20+E21*F21+E22*F22)/(C12)</f>
        <v>10</v>
      </c>
      <c r="G12">
        <f>ROUND(E12, 2)</f>
        <v>10</v>
      </c>
      <c r="H12">
        <v>12</v>
      </c>
      <c r="I12">
        <f>IF(G12&gt;=10,H12,0)</f>
        <v>12</v>
      </c>
      <c r="J12" s="14"/>
      <c r="K12">
        <f>'Read me'!F8</f>
        <v>35</v>
      </c>
      <c r="L12" s="14"/>
    </row>
    <row r="13" spans="1:12" x14ac:dyDescent="0.55000000000000004">
      <c r="A13" t="s">
        <v>129</v>
      </c>
      <c r="B13">
        <v>45</v>
      </c>
      <c r="C13">
        <f>F13+F14</f>
        <v>3</v>
      </c>
      <c r="D13" t="s">
        <v>261</v>
      </c>
      <c r="E13">
        <v>10</v>
      </c>
      <c r="F13">
        <v>1.5</v>
      </c>
    </row>
    <row r="14" spans="1:12" x14ac:dyDescent="0.55000000000000004">
      <c r="D14" t="s">
        <v>262</v>
      </c>
      <c r="E14">
        <v>10</v>
      </c>
      <c r="F14">
        <v>1.5</v>
      </c>
    </row>
    <row r="15" spans="1:12" x14ac:dyDescent="0.55000000000000004">
      <c r="A15" t="s">
        <v>130</v>
      </c>
      <c r="B15">
        <v>60</v>
      </c>
      <c r="C15">
        <f>F15+F16+F17+F18+F19</f>
        <v>4</v>
      </c>
      <c r="D15" t="s">
        <v>264</v>
      </c>
      <c r="E15">
        <v>10</v>
      </c>
      <c r="F15">
        <v>1</v>
      </c>
    </row>
    <row r="16" spans="1:12" x14ac:dyDescent="0.55000000000000004">
      <c r="D16" t="s">
        <v>265</v>
      </c>
      <c r="E16">
        <v>10</v>
      </c>
      <c r="F16">
        <v>1.5</v>
      </c>
    </row>
    <row r="17" spans="1:12" x14ac:dyDescent="0.55000000000000004">
      <c r="D17" t="s">
        <v>266</v>
      </c>
      <c r="E17">
        <v>10</v>
      </c>
      <c r="F17">
        <v>0.375</v>
      </c>
    </row>
    <row r="18" spans="1:12" x14ac:dyDescent="0.55000000000000004">
      <c r="D18" t="s">
        <v>267</v>
      </c>
      <c r="E18">
        <v>10</v>
      </c>
      <c r="F18">
        <v>0.375</v>
      </c>
    </row>
    <row r="19" spans="1:12" x14ac:dyDescent="0.55000000000000004">
      <c r="D19" t="s">
        <v>268</v>
      </c>
      <c r="E19">
        <v>10</v>
      </c>
      <c r="F19">
        <v>0.75</v>
      </c>
    </row>
    <row r="20" spans="1:12" x14ac:dyDescent="0.55000000000000004">
      <c r="A20" t="str">
        <f>IF('Read me'!B4&lt;&gt;"CIR","Algo et langage C","Théorie des graphes")</f>
        <v>Algo et langage C</v>
      </c>
      <c r="B20">
        <v>45</v>
      </c>
      <c r="C20">
        <f>F20+F21</f>
        <v>3</v>
      </c>
      <c r="D20" t="s">
        <v>261</v>
      </c>
      <c r="E20">
        <v>10</v>
      </c>
      <c r="F20">
        <v>2</v>
      </c>
    </row>
    <row r="21" spans="1:12" x14ac:dyDescent="0.55000000000000004">
      <c r="D21" t="s">
        <v>262</v>
      </c>
      <c r="E21">
        <v>10</v>
      </c>
      <c r="F21">
        <v>1</v>
      </c>
    </row>
    <row r="22" spans="1:12" x14ac:dyDescent="0.55000000000000004">
      <c r="A22" t="str">
        <f>IF('Read me'!B4&lt;&gt;"CIR","Linux"," ")</f>
        <v>Linux</v>
      </c>
      <c r="B22">
        <f>IF('Read me'!B4&lt;&gt;"CIR",15,)</f>
        <v>15</v>
      </c>
      <c r="C22">
        <f>IF('Read me'!B4&lt;&gt;"CIR",1,)</f>
        <v>1</v>
      </c>
      <c r="D22" t="str">
        <f>IF('Read me'!B4&lt;&gt;"CIR","note"," ")</f>
        <v>note</v>
      </c>
      <c r="E22">
        <v>10</v>
      </c>
      <c r="F22">
        <f>IF('Read me'!B4&lt;&gt;"CIR",1,)</f>
        <v>1</v>
      </c>
    </row>
    <row r="24" spans="1:12" x14ac:dyDescent="0.55000000000000004">
      <c r="A24" s="7" t="s">
        <v>207</v>
      </c>
      <c r="B24">
        <f>B25+B28+B31+B32</f>
        <v>90</v>
      </c>
      <c r="C24">
        <f>C25+C28+C31+C32</f>
        <v>7.5</v>
      </c>
      <c r="D24" t="s">
        <v>193</v>
      </c>
      <c r="E24">
        <f>(E25*F25+E26*F26+E27*F27+E28*F28+E29*F29+E30*F30+E31*F31+E32*F32)/(C24)</f>
        <v>10</v>
      </c>
      <c r="G24">
        <f>ROUND(E24,2)</f>
        <v>10</v>
      </c>
      <c r="H24">
        <v>7</v>
      </c>
      <c r="I24">
        <f>IF(G24&gt;=10,H24,0)</f>
        <v>7</v>
      </c>
      <c r="J24" s="14"/>
      <c r="K24">
        <f>'Read me'!F8</f>
        <v>35</v>
      </c>
      <c r="L24" s="14"/>
    </row>
    <row r="25" spans="1:12" x14ac:dyDescent="0.55000000000000004">
      <c r="A25" t="s">
        <v>208</v>
      </c>
      <c r="B25">
        <v>30</v>
      </c>
      <c r="C25">
        <f>F25+F26+F27</f>
        <v>3</v>
      </c>
      <c r="D25" t="s">
        <v>269</v>
      </c>
      <c r="E25">
        <v>10</v>
      </c>
      <c r="F25">
        <v>0.7</v>
      </c>
    </row>
    <row r="26" spans="1:12" x14ac:dyDescent="0.55000000000000004">
      <c r="D26" t="s">
        <v>270</v>
      </c>
      <c r="E26">
        <v>10</v>
      </c>
      <c r="F26">
        <v>1.3</v>
      </c>
    </row>
    <row r="27" spans="1:12" ht="28.8" x14ac:dyDescent="0.55000000000000004">
      <c r="D27" s="12" t="s">
        <v>271</v>
      </c>
      <c r="E27">
        <v>10</v>
      </c>
      <c r="F27">
        <v>1</v>
      </c>
    </row>
    <row r="28" spans="1:12" x14ac:dyDescent="0.55000000000000004">
      <c r="A28" t="s">
        <v>133</v>
      </c>
      <c r="B28">
        <v>30</v>
      </c>
      <c r="C28">
        <f>F28+F29+F30</f>
        <v>2</v>
      </c>
      <c r="D28" t="s">
        <v>272</v>
      </c>
      <c r="E28">
        <v>10</v>
      </c>
      <c r="F28">
        <v>0.8</v>
      </c>
    </row>
    <row r="29" spans="1:12" x14ac:dyDescent="0.55000000000000004">
      <c r="D29" t="s">
        <v>273</v>
      </c>
      <c r="E29">
        <v>10</v>
      </c>
      <c r="F29">
        <v>0.6</v>
      </c>
    </row>
    <row r="30" spans="1:12" x14ac:dyDescent="0.55000000000000004">
      <c r="D30" t="s">
        <v>274</v>
      </c>
      <c r="E30">
        <v>10</v>
      </c>
      <c r="F30">
        <v>0.6</v>
      </c>
    </row>
    <row r="31" spans="1:12" x14ac:dyDescent="0.55000000000000004">
      <c r="A31" t="s">
        <v>47</v>
      </c>
      <c r="B31">
        <v>30</v>
      </c>
      <c r="C31">
        <f>F31</f>
        <v>2</v>
      </c>
      <c r="D31" t="s">
        <v>276</v>
      </c>
      <c r="E31">
        <v>10</v>
      </c>
      <c r="F31">
        <v>2</v>
      </c>
    </row>
    <row r="32" spans="1:12" x14ac:dyDescent="0.55000000000000004">
      <c r="A32" t="s">
        <v>134</v>
      </c>
      <c r="B32">
        <v>0</v>
      </c>
      <c r="C32">
        <f>F32</f>
        <v>0.5</v>
      </c>
      <c r="D32" t="s">
        <v>251</v>
      </c>
      <c r="E32">
        <v>10</v>
      </c>
      <c r="F32">
        <v>0.5</v>
      </c>
    </row>
    <row r="34" spans="1:3" x14ac:dyDescent="0.55000000000000004">
      <c r="A34" s="7" t="s">
        <v>219</v>
      </c>
      <c r="B34">
        <f>B24+B12+B4</f>
        <v>390</v>
      </c>
      <c r="C34">
        <f>C4+C12+C24</f>
        <v>27.5</v>
      </c>
    </row>
    <row r="35" spans="1:3" x14ac:dyDescent="0.55000000000000004">
      <c r="A35" s="7" t="s">
        <v>220</v>
      </c>
      <c r="B35">
        <f>(E24*C24+E12*C12+E4*C4)/C34</f>
        <v>10</v>
      </c>
    </row>
    <row r="36" spans="1:3" x14ac:dyDescent="0.55000000000000004">
      <c r="A36" s="7" t="s">
        <v>221</v>
      </c>
      <c r="B36" s="3">
        <f>(G4*C4+G12*C12+G24*C24)/(C4+C12+C24)</f>
        <v>10</v>
      </c>
    </row>
    <row r="37" spans="1:3" x14ac:dyDescent="0.55000000000000004">
      <c r="A37" s="7" t="s">
        <v>278</v>
      </c>
      <c r="B37">
        <f>H4+H12+H24</f>
        <v>30</v>
      </c>
    </row>
    <row r="38" spans="1:3" x14ac:dyDescent="0.55000000000000004">
      <c r="A38" s="7" t="s">
        <v>279</v>
      </c>
      <c r="B38">
        <f>I4+I12+I24</f>
        <v>30</v>
      </c>
    </row>
    <row r="39" spans="1:3" x14ac:dyDescent="0.55000000000000004">
      <c r="A39" s="7" t="s">
        <v>328</v>
      </c>
      <c r="B39">
        <f>'Read me'!F8</f>
        <v>35</v>
      </c>
    </row>
    <row r="40" spans="1:3" x14ac:dyDescent="0.55000000000000004">
      <c r="A40" s="7" t="s">
        <v>329</v>
      </c>
      <c r="B40" s="14"/>
    </row>
    <row r="41" spans="1:3" x14ac:dyDescent="0.55000000000000004">
      <c r="A41" s="7" t="s">
        <v>324</v>
      </c>
      <c r="B41" s="14">
        <v>2</v>
      </c>
    </row>
  </sheetData>
  <conditionalFormatting sqref="B36">
    <cfRule type="expression" dxfId="139" priority="1">
      <formula>B36&gt;11</formula>
    </cfRule>
    <cfRule type="expression" dxfId="138" priority="2">
      <formula>B36&gt;=10</formula>
    </cfRule>
    <cfRule type="expression" dxfId="137" priority="3">
      <formula>B36&lt;10</formula>
    </cfRule>
  </conditionalFormatting>
  <conditionalFormatting sqref="B38">
    <cfRule type="expression" dxfId="136" priority="13">
      <formula>B38=B37</formula>
    </cfRule>
    <cfRule type="expression" dxfId="135" priority="14">
      <formula>B38&lt;B37</formula>
    </cfRule>
  </conditionalFormatting>
  <conditionalFormatting sqref="G4">
    <cfRule type="expression" dxfId="134" priority="10">
      <formula>G4&gt;11</formula>
    </cfRule>
    <cfRule type="expression" dxfId="133" priority="11">
      <formula>G4&gt;=10</formula>
    </cfRule>
    <cfRule type="expression" dxfId="132" priority="12">
      <formula>G4&lt;10</formula>
    </cfRule>
  </conditionalFormatting>
  <conditionalFormatting sqref="G12">
    <cfRule type="expression" dxfId="131" priority="7">
      <formula>G12&gt;11</formula>
    </cfRule>
    <cfRule type="expression" dxfId="130" priority="8">
      <formula>G12&gt;=10</formula>
    </cfRule>
    <cfRule type="expression" dxfId="129" priority="9">
      <formula>G12&lt;10</formula>
    </cfRule>
  </conditionalFormatting>
  <conditionalFormatting sqref="G24">
    <cfRule type="expression" dxfId="128" priority="4">
      <formula>G24&gt;11</formula>
    </cfRule>
    <cfRule type="expression" dxfId="127" priority="5">
      <formula>G24&gt;=10</formula>
    </cfRule>
    <cfRule type="expression" dxfId="126" priority="6">
      <formula>G24&lt;10</formula>
    </cfRule>
  </conditionalFormatting>
  <conditionalFormatting sqref="I4">
    <cfRule type="expression" dxfId="125" priority="19">
      <formula>I4=H4</formula>
    </cfRule>
    <cfRule type="expression" dxfId="124" priority="20">
      <formula>I4&lt;H4</formula>
    </cfRule>
  </conditionalFormatting>
  <conditionalFormatting sqref="I12">
    <cfRule type="expression" dxfId="123" priority="17">
      <formula>I12=H12</formula>
    </cfRule>
    <cfRule type="expression" dxfId="122" priority="18">
      <formula>I12&lt;H12</formula>
    </cfRule>
  </conditionalFormatting>
  <conditionalFormatting sqref="I24">
    <cfRule type="expression" dxfId="121" priority="15">
      <formula>I24=H24</formula>
    </cfRule>
    <cfRule type="expression" dxfId="120" priority="16">
      <formula>I24&lt;H24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L41"/>
  <sheetViews>
    <sheetView topLeftCell="A28" zoomScale="85" zoomScaleNormal="85" workbookViewId="0">
      <selection activeCell="B39" sqref="B39"/>
    </sheetView>
  </sheetViews>
  <sheetFormatPr defaultColWidth="10.9453125" defaultRowHeight="14.4" x14ac:dyDescent="0.55000000000000004"/>
  <cols>
    <col min="1" max="1" width="34.20703125" bestFit="1" customWidth="1"/>
    <col min="2" max="2" width="10.41796875" bestFit="1" customWidth="1"/>
    <col min="3" max="3" width="7.15625" bestFit="1" customWidth="1"/>
    <col min="4" max="4" width="32.83984375" bestFit="1" customWidth="1"/>
    <col min="5" max="5" width="8" bestFit="1" customWidth="1"/>
    <col min="6" max="6" width="6.9453125" bestFit="1" customWidth="1"/>
    <col min="7" max="7" width="11.05078125" bestFit="1" customWidth="1"/>
    <col min="8" max="8" width="18.3125" bestFit="1" customWidth="1"/>
    <col min="9" max="9" width="17.83984375" customWidth="1"/>
    <col min="10" max="10" width="14.5234375" bestFit="1" customWidth="1"/>
    <col min="11" max="11" width="11.89453125" customWidth="1"/>
  </cols>
  <sheetData>
    <row r="1" spans="1:12" ht="26.4" x14ac:dyDescent="1">
      <c r="A1" s="6" t="s">
        <v>188</v>
      </c>
      <c r="B1" s="7"/>
    </row>
    <row r="2" spans="1:12" ht="37.5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243</v>
      </c>
      <c r="B4">
        <f>B5+B6+B7</f>
        <v>75</v>
      </c>
      <c r="C4">
        <f>C5+C6+C7</f>
        <v>5</v>
      </c>
      <c r="D4" t="s">
        <v>193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  <c r="J4" s="14"/>
      <c r="K4">
        <f>'Read me'!G8</f>
        <v>35</v>
      </c>
      <c r="L4" s="14"/>
    </row>
    <row r="5" spans="1:12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12" x14ac:dyDescent="0.55000000000000004">
      <c r="A6" t="s">
        <v>244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12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12" x14ac:dyDescent="0.55000000000000004">
      <c r="A9" s="7" t="str">
        <f>IF('Read me'!B4&lt;&gt;"CIR","Analyse de données","Outil numérique")</f>
        <v>Analyse de données</v>
      </c>
      <c r="B9">
        <f>B11+B10+B12</f>
        <v>60</v>
      </c>
      <c r="C9">
        <f>C11+C10+C12</f>
        <v>4</v>
      </c>
      <c r="D9" t="s">
        <v>193</v>
      </c>
      <c r="E9">
        <f>(E11*F11+E10*F10+E12*F12)/(C9)</f>
        <v>10</v>
      </c>
      <c r="G9">
        <f>ROUND(E9, 2)</f>
        <v>10</v>
      </c>
      <c r="H9">
        <v>5</v>
      </c>
      <c r="I9">
        <f>IF(G9&gt;=10,H9,0)</f>
        <v>5</v>
      </c>
      <c r="J9" s="14"/>
      <c r="K9">
        <f>'Read me'!G8</f>
        <v>35</v>
      </c>
      <c r="L9" s="14"/>
    </row>
    <row r="10" spans="1:12" x14ac:dyDescent="0.55000000000000004">
      <c r="A10" t="s">
        <v>137</v>
      </c>
      <c r="B10">
        <v>15</v>
      </c>
      <c r="C10">
        <v>1</v>
      </c>
      <c r="D10" t="s">
        <v>5</v>
      </c>
      <c r="E10">
        <v>10</v>
      </c>
      <c r="F10">
        <v>1</v>
      </c>
    </row>
    <row r="11" spans="1:12" x14ac:dyDescent="0.55000000000000004">
      <c r="A11" t="str">
        <f>IF('Read me'!B4&lt;&gt;"CIR","Base de données",IF('Read me'!B3="Brest","Framework",IF('Read me'!B3="Nantes","Programmation linéaire",IF('Read me'!B3="Caen","Design pattern","autre"))))</f>
        <v>Base de données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12" x14ac:dyDescent="0.55000000000000004">
      <c r="A12" t="str">
        <f>IF('Read me'!B4&lt;&gt;"CIR","DEV WEB","Admin Linux")</f>
        <v>DEV WEB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12" x14ac:dyDescent="0.55000000000000004">
      <c r="A14" s="7" t="s">
        <v>207</v>
      </c>
      <c r="B14">
        <f>B15+B18+B20+B21</f>
        <v>90</v>
      </c>
      <c r="C14">
        <f>C15+C18+C20</f>
        <v>6</v>
      </c>
      <c r="D14" t="s">
        <v>193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  <c r="J14" s="14"/>
      <c r="K14">
        <f>'Read me'!G8</f>
        <v>35</v>
      </c>
      <c r="L14" s="14"/>
    </row>
    <row r="15" spans="1:12" x14ac:dyDescent="0.55000000000000004">
      <c r="A15" t="s">
        <v>245</v>
      </c>
      <c r="B15">
        <v>45</v>
      </c>
      <c r="C15">
        <v>3</v>
      </c>
      <c r="D15" t="s">
        <v>246</v>
      </c>
      <c r="E15">
        <v>10</v>
      </c>
      <c r="F15">
        <v>1</v>
      </c>
    </row>
    <row r="16" spans="1:12" x14ac:dyDescent="0.55000000000000004">
      <c r="D16" t="s">
        <v>247</v>
      </c>
      <c r="E16">
        <v>10</v>
      </c>
      <c r="F16">
        <v>2</v>
      </c>
    </row>
    <row r="17" spans="1:12" x14ac:dyDescent="0.55000000000000004">
      <c r="D17" t="s">
        <v>248</v>
      </c>
      <c r="E17">
        <v>10</v>
      </c>
      <c r="F17">
        <v>0.5</v>
      </c>
    </row>
    <row r="18" spans="1:12" x14ac:dyDescent="0.55000000000000004">
      <c r="A18" t="s">
        <v>141</v>
      </c>
      <c r="B18">
        <v>30</v>
      </c>
      <c r="C18">
        <v>2</v>
      </c>
      <c r="D18" t="s">
        <v>249</v>
      </c>
      <c r="E18">
        <v>10</v>
      </c>
      <c r="F18">
        <v>1</v>
      </c>
    </row>
    <row r="19" spans="1:12" x14ac:dyDescent="0.55000000000000004">
      <c r="D19" t="s">
        <v>250</v>
      </c>
      <c r="E19">
        <v>10</v>
      </c>
      <c r="F19">
        <v>1</v>
      </c>
    </row>
    <row r="20" spans="1:12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12" x14ac:dyDescent="0.55000000000000004">
      <c r="A21" t="s">
        <v>134</v>
      </c>
      <c r="B21">
        <v>0</v>
      </c>
      <c r="C21">
        <v>0.5</v>
      </c>
      <c r="D21" t="s">
        <v>251</v>
      </c>
      <c r="E21">
        <v>10</v>
      </c>
      <c r="F21">
        <v>0.5</v>
      </c>
    </row>
    <row r="23" spans="1:12" x14ac:dyDescent="0.55000000000000004">
      <c r="A23" s="7" t="s">
        <v>252</v>
      </c>
      <c r="B23">
        <f>B24+B25+B26</f>
        <v>90</v>
      </c>
      <c r="C23">
        <f>C24+C25+C26</f>
        <v>6</v>
      </c>
      <c r="D23" t="s">
        <v>193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  <c r="J23" s="14"/>
      <c r="K23">
        <f>'Read me'!G8</f>
        <v>35</v>
      </c>
      <c r="L23" s="14"/>
    </row>
    <row r="24" spans="1:12" x14ac:dyDescent="0.55000000000000004">
      <c r="A24" t="s">
        <v>253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12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12" x14ac:dyDescent="0.55000000000000004">
      <c r="A26" t="s">
        <v>254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12" x14ac:dyDescent="0.55000000000000004">
      <c r="A28" s="7" t="s">
        <v>255</v>
      </c>
      <c r="B28">
        <f>B29+B30+B31+B32</f>
        <v>120</v>
      </c>
      <c r="C28">
        <f>C29+C30+C31+C32</f>
        <v>8</v>
      </c>
      <c r="D28" t="s">
        <v>193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  <c r="J28" s="14"/>
      <c r="K28">
        <f>'Read me'!G8</f>
        <v>35</v>
      </c>
      <c r="L28" s="14"/>
    </row>
    <row r="29" spans="1:12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12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12" x14ac:dyDescent="0.55000000000000004">
      <c r="A31" t="s">
        <v>256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12" x14ac:dyDescent="0.55000000000000004">
      <c r="A32" t="s">
        <v>257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219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220</v>
      </c>
      <c r="B35">
        <f>(E4*C4+E9*C9+E14*C14+E23*C23+E28*C28)/C34</f>
        <v>10</v>
      </c>
    </row>
    <row r="36" spans="1:3" x14ac:dyDescent="0.55000000000000004">
      <c r="A36" s="7" t="s">
        <v>221</v>
      </c>
      <c r="B36" s="3">
        <f>ROUND(B35,2)</f>
        <v>10</v>
      </c>
    </row>
    <row r="37" spans="1:3" x14ac:dyDescent="0.55000000000000004">
      <c r="A37" s="7" t="s">
        <v>278</v>
      </c>
      <c r="B37">
        <f>H4+H9+H14+H23+H28</f>
        <v>30</v>
      </c>
    </row>
    <row r="38" spans="1:3" x14ac:dyDescent="0.55000000000000004">
      <c r="A38" s="7" t="s">
        <v>279</v>
      </c>
      <c r="B38">
        <f>I4+I9+I14+I23+I28</f>
        <v>30</v>
      </c>
    </row>
    <row r="39" spans="1:3" x14ac:dyDescent="0.55000000000000004">
      <c r="A39" s="7" t="s">
        <v>328</v>
      </c>
      <c r="B39">
        <f>'Read me'!G8</f>
        <v>35</v>
      </c>
    </row>
    <row r="40" spans="1:3" x14ac:dyDescent="0.55000000000000004">
      <c r="A40" s="7" t="s">
        <v>329</v>
      </c>
      <c r="B40" s="14"/>
    </row>
    <row r="41" spans="1:3" x14ac:dyDescent="0.55000000000000004">
      <c r="A41" s="7" t="s">
        <v>324</v>
      </c>
      <c r="B41" s="14">
        <v>2</v>
      </c>
    </row>
  </sheetData>
  <conditionalFormatting sqref="B36">
    <cfRule type="expression" dxfId="119" priority="1">
      <formula>B36&gt;11</formula>
    </cfRule>
    <cfRule type="expression" dxfId="118" priority="2">
      <formula>B36&gt;=10</formula>
    </cfRule>
    <cfRule type="expression" dxfId="117" priority="3">
      <formula>B36&lt;10</formula>
    </cfRule>
  </conditionalFormatting>
  <conditionalFormatting sqref="B38">
    <cfRule type="expression" dxfId="116" priority="19">
      <formula>B38=B37</formula>
    </cfRule>
    <cfRule type="expression" dxfId="115" priority="20">
      <formula>B38&lt;B37</formula>
    </cfRule>
  </conditionalFormatting>
  <conditionalFormatting sqref="G4">
    <cfRule type="expression" dxfId="114" priority="16">
      <formula>G4&gt;11</formula>
    </cfRule>
    <cfRule type="expression" dxfId="113" priority="17">
      <formula>G4&gt;=10</formula>
    </cfRule>
    <cfRule type="expression" dxfId="112" priority="18">
      <formula>G4&lt;10</formula>
    </cfRule>
  </conditionalFormatting>
  <conditionalFormatting sqref="G9">
    <cfRule type="expression" dxfId="111" priority="13">
      <formula>G9&gt;11</formula>
    </cfRule>
    <cfRule type="expression" dxfId="110" priority="14">
      <formula>G9&gt;=10</formula>
    </cfRule>
    <cfRule type="expression" dxfId="109" priority="15">
      <formula>G9&lt;10</formula>
    </cfRule>
  </conditionalFormatting>
  <conditionalFormatting sqref="G14">
    <cfRule type="expression" dxfId="108" priority="10">
      <formula>G14&gt;11</formula>
    </cfRule>
    <cfRule type="expression" dxfId="107" priority="11">
      <formula>G14&gt;=10</formula>
    </cfRule>
    <cfRule type="expression" dxfId="106" priority="12">
      <formula>G14&lt;10</formula>
    </cfRule>
  </conditionalFormatting>
  <conditionalFormatting sqref="G23">
    <cfRule type="expression" dxfId="105" priority="7">
      <formula>G23&gt;11</formula>
    </cfRule>
    <cfRule type="expression" dxfId="104" priority="8">
      <formula>G23&gt;=10</formula>
    </cfRule>
    <cfRule type="expression" dxfId="103" priority="9">
      <formula>G23&lt;10</formula>
    </cfRule>
  </conditionalFormatting>
  <conditionalFormatting sqref="G28">
    <cfRule type="expression" dxfId="102" priority="4">
      <formula>G28&gt;11</formula>
    </cfRule>
    <cfRule type="expression" dxfId="101" priority="5">
      <formula>G28&gt;=10</formula>
    </cfRule>
    <cfRule type="expression" dxfId="100" priority="6">
      <formula>G28&lt;10</formula>
    </cfRule>
  </conditionalFormatting>
  <conditionalFormatting sqref="I4">
    <cfRule type="expression" dxfId="99" priority="29">
      <formula>I4=H4</formula>
    </cfRule>
    <cfRule type="expression" dxfId="98" priority="30">
      <formula>I4&lt;H4</formula>
    </cfRule>
  </conditionalFormatting>
  <conditionalFormatting sqref="I9">
    <cfRule type="expression" dxfId="97" priority="27">
      <formula>I9=H9</formula>
    </cfRule>
    <cfRule type="expression" dxfId="96" priority="28">
      <formula>I9&lt;H9</formula>
    </cfRule>
  </conditionalFormatting>
  <conditionalFormatting sqref="I14">
    <cfRule type="expression" dxfId="95" priority="21">
      <formula>I14=H14</formula>
    </cfRule>
    <cfRule type="expression" dxfId="94" priority="22">
      <formula>I14&lt;H14</formula>
    </cfRule>
  </conditionalFormatting>
  <conditionalFormatting sqref="I23">
    <cfRule type="expression" dxfId="93" priority="25">
      <formula>I23=H23</formula>
    </cfRule>
    <cfRule type="expression" dxfId="92" priority="26">
      <formula>I23&lt;H23</formula>
    </cfRule>
  </conditionalFormatting>
  <conditionalFormatting sqref="I28">
    <cfRule type="expression" dxfId="91" priority="23">
      <formula>I28=H28</formula>
    </cfRule>
    <cfRule type="expression" dxfId="90" priority="24">
      <formula>I28&lt;H28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defaultColWidth="10.9453125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L39"/>
  <sheetViews>
    <sheetView topLeftCell="A29" zoomScale="85" zoomScaleNormal="85" workbookViewId="0">
      <selection activeCell="B37" sqref="B37"/>
    </sheetView>
  </sheetViews>
  <sheetFormatPr defaultColWidth="10.9453125" defaultRowHeight="14.4" x14ac:dyDescent="0.55000000000000004"/>
  <cols>
    <col min="1" max="1" width="33.3671875" bestFit="1" customWidth="1"/>
    <col min="2" max="2" width="14.9453125" bestFit="1" customWidth="1"/>
    <col min="3" max="3" width="6.9453125" bestFit="1" customWidth="1"/>
    <col min="4" max="4" width="21.26171875" bestFit="1" customWidth="1"/>
    <col min="5" max="5" width="7.9453125" bestFit="1" customWidth="1"/>
    <col min="6" max="6" width="6.83984375" bestFit="1" customWidth="1"/>
    <col min="7" max="7" width="10.89453125" bestFit="1" customWidth="1"/>
    <col min="8" max="8" width="18.3125" bestFit="1" customWidth="1"/>
    <col min="9" max="9" width="17.9453125" bestFit="1" customWidth="1"/>
    <col min="10" max="10" width="14.5234375" bestFit="1" customWidth="1"/>
    <col min="11" max="11" width="12.3671875" customWidth="1"/>
  </cols>
  <sheetData>
    <row r="1" spans="1:12" ht="26.4" x14ac:dyDescent="1">
      <c r="A1" s="6" t="s">
        <v>223</v>
      </c>
      <c r="B1" s="7"/>
    </row>
    <row r="2" spans="1:12" ht="58.5" x14ac:dyDescent="0.75">
      <c r="A2" s="8" t="s">
        <v>189</v>
      </c>
      <c r="B2" s="8" t="s">
        <v>190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192</v>
      </c>
      <c r="B4">
        <f>B5+B8+B9+B10+B12</f>
        <v>150</v>
      </c>
      <c r="C4">
        <f>C5+C8+C9+C10+C12+5</f>
        <v>15</v>
      </c>
      <c r="D4" t="s">
        <v>193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  <c r="J4" s="14"/>
      <c r="K4">
        <f>'Read me'!H8</f>
        <v>35</v>
      </c>
      <c r="L4" s="14"/>
    </row>
    <row r="5" spans="1:12" x14ac:dyDescent="0.55000000000000004">
      <c r="A5" t="s">
        <v>194</v>
      </c>
      <c r="B5">
        <v>60</v>
      </c>
      <c r="C5">
        <v>4</v>
      </c>
      <c r="D5" t="s">
        <v>195</v>
      </c>
      <c r="E5">
        <v>10</v>
      </c>
      <c r="F5">
        <v>1.5</v>
      </c>
    </row>
    <row r="6" spans="1:12" x14ac:dyDescent="0.55000000000000004">
      <c r="D6" t="s">
        <v>196</v>
      </c>
      <c r="E6">
        <v>10</v>
      </c>
      <c r="F6">
        <v>1.5</v>
      </c>
    </row>
    <row r="7" spans="1:12" x14ac:dyDescent="0.55000000000000004">
      <c r="D7" t="s">
        <v>197</v>
      </c>
      <c r="E7">
        <v>10</v>
      </c>
      <c r="F7">
        <v>2</v>
      </c>
    </row>
    <row r="8" spans="1:12" x14ac:dyDescent="0.55000000000000004">
      <c r="A8" t="s">
        <v>154</v>
      </c>
      <c r="B8">
        <v>15</v>
      </c>
      <c r="C8">
        <v>1</v>
      </c>
      <c r="D8" t="s">
        <v>198</v>
      </c>
      <c r="E8">
        <v>10</v>
      </c>
      <c r="F8">
        <v>1</v>
      </c>
    </row>
    <row r="9" spans="1:12" x14ac:dyDescent="0.55000000000000004">
      <c r="A9" t="s">
        <v>155</v>
      </c>
      <c r="B9">
        <v>15</v>
      </c>
      <c r="C9">
        <v>1</v>
      </c>
      <c r="D9" t="s">
        <v>198</v>
      </c>
      <c r="E9">
        <v>10</v>
      </c>
      <c r="F9">
        <v>1</v>
      </c>
    </row>
    <row r="10" spans="1:12" x14ac:dyDescent="0.55000000000000004">
      <c r="A10" t="s">
        <v>199</v>
      </c>
      <c r="B10">
        <v>30</v>
      </c>
      <c r="C10">
        <v>2</v>
      </c>
      <c r="D10" t="s">
        <v>198</v>
      </c>
      <c r="E10">
        <v>10</v>
      </c>
      <c r="F10">
        <v>1</v>
      </c>
    </row>
    <row r="11" spans="1:12" x14ac:dyDescent="0.55000000000000004">
      <c r="D11" t="s">
        <v>200</v>
      </c>
      <c r="E11">
        <v>10</v>
      </c>
      <c r="F11">
        <v>1</v>
      </c>
    </row>
    <row r="12" spans="1:12" x14ac:dyDescent="0.55000000000000004">
      <c r="A12" t="s">
        <v>157</v>
      </c>
      <c r="B12">
        <v>30</v>
      </c>
      <c r="C12">
        <v>2</v>
      </c>
      <c r="D12" t="s">
        <v>198</v>
      </c>
      <c r="E12">
        <v>10</v>
      </c>
      <c r="F12">
        <f>C12</f>
        <v>2</v>
      </c>
    </row>
    <row r="14" spans="1:12" x14ac:dyDescent="0.55000000000000004">
      <c r="A14" s="7" t="s">
        <v>201</v>
      </c>
      <c r="B14">
        <f>B15+B16+B17+B18</f>
        <v>90</v>
      </c>
      <c r="C14">
        <f>C15+C16+C17+C18+2</f>
        <v>8</v>
      </c>
      <c r="D14" t="s">
        <v>193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  <c r="J14" s="14"/>
      <c r="K14">
        <f>'Read me'!H8</f>
        <v>35</v>
      </c>
      <c r="L14" s="14"/>
    </row>
    <row r="15" spans="1:12" x14ac:dyDescent="0.55000000000000004">
      <c r="A15" t="s">
        <v>202</v>
      </c>
      <c r="B15">
        <v>15</v>
      </c>
      <c r="C15">
        <v>1</v>
      </c>
      <c r="D15" t="s">
        <v>203</v>
      </c>
      <c r="E15">
        <v>10</v>
      </c>
      <c r="F15">
        <f>C15</f>
        <v>1</v>
      </c>
    </row>
    <row r="16" spans="1:12" x14ac:dyDescent="0.55000000000000004">
      <c r="A16" t="s">
        <v>204</v>
      </c>
      <c r="B16">
        <v>30</v>
      </c>
      <c r="C16">
        <v>2</v>
      </c>
      <c r="D16" t="s">
        <v>205</v>
      </c>
      <c r="E16">
        <v>10</v>
      </c>
      <c r="F16">
        <f>C16</f>
        <v>2</v>
      </c>
    </row>
    <row r="17" spans="1:12" x14ac:dyDescent="0.55000000000000004">
      <c r="A17" t="s">
        <v>160</v>
      </c>
      <c r="B17">
        <v>15</v>
      </c>
      <c r="C17">
        <v>1</v>
      </c>
      <c r="D17" t="s">
        <v>206</v>
      </c>
      <c r="E17">
        <v>10</v>
      </c>
      <c r="F17">
        <f>C17</f>
        <v>1</v>
      </c>
    </row>
    <row r="18" spans="1:12" x14ac:dyDescent="0.55000000000000004">
      <c r="A18" t="s">
        <v>161</v>
      </c>
      <c r="B18">
        <v>30</v>
      </c>
      <c r="C18">
        <v>2</v>
      </c>
      <c r="D18" t="s">
        <v>198</v>
      </c>
      <c r="E18">
        <v>10</v>
      </c>
      <c r="F18">
        <f>C18</f>
        <v>2</v>
      </c>
    </row>
    <row r="20" spans="1:12" x14ac:dyDescent="0.55000000000000004">
      <c r="A20" s="7" t="s">
        <v>207</v>
      </c>
      <c r="B20">
        <f>B21+B24+B28+B30</f>
        <v>60</v>
      </c>
      <c r="C20">
        <f>C21+C24+C28+1</f>
        <v>7</v>
      </c>
      <c r="D20" t="s">
        <v>193</v>
      </c>
      <c r="E20">
        <f>(E21*F21+E22*F22+E23*F23+E24*F24+E25*F25+E26*F26+E27*F27+E28*F28+E30*F30)/(F21+F22+F23+F24+F25+F26+F27+F28+F30)</f>
        <v>10</v>
      </c>
      <c r="G20">
        <f>ROUND(E20,2)</f>
        <v>10</v>
      </c>
      <c r="H20">
        <v>7</v>
      </c>
      <c r="I20">
        <f>IF(G20&gt;=10,H20,0)</f>
        <v>7</v>
      </c>
      <c r="J20" s="14"/>
      <c r="K20">
        <f>'Read me'!H8</f>
        <v>35</v>
      </c>
      <c r="L20" s="14"/>
    </row>
    <row r="21" spans="1:12" x14ac:dyDescent="0.55000000000000004">
      <c r="A21" t="s">
        <v>208</v>
      </c>
      <c r="B21">
        <v>20</v>
      </c>
      <c r="C21">
        <v>2</v>
      </c>
      <c r="D21" t="s">
        <v>209</v>
      </c>
      <c r="E21">
        <v>10</v>
      </c>
      <c r="F21">
        <f>C$21/3</f>
        <v>0.66666666666666663</v>
      </c>
    </row>
    <row r="22" spans="1:12" x14ac:dyDescent="0.55000000000000004">
      <c r="D22" t="s">
        <v>210</v>
      </c>
      <c r="E22" s="10">
        <v>10</v>
      </c>
      <c r="F22">
        <f>C$21/3</f>
        <v>0.66666666666666663</v>
      </c>
      <c r="H22" s="10"/>
    </row>
    <row r="23" spans="1:12" x14ac:dyDescent="0.55000000000000004">
      <c r="D23" t="s">
        <v>211</v>
      </c>
      <c r="E23">
        <v>10</v>
      </c>
      <c r="F23">
        <f>C$21/3</f>
        <v>0.66666666666666663</v>
      </c>
    </row>
    <row r="24" spans="1:12" x14ac:dyDescent="0.55000000000000004">
      <c r="A24" t="s">
        <v>212</v>
      </c>
      <c r="B24">
        <v>20</v>
      </c>
      <c r="C24">
        <v>2</v>
      </c>
      <c r="D24" t="s">
        <v>213</v>
      </c>
      <c r="E24">
        <v>10</v>
      </c>
      <c r="F24">
        <f>C$24/4</f>
        <v>0.5</v>
      </c>
    </row>
    <row r="25" spans="1:12" x14ac:dyDescent="0.55000000000000004">
      <c r="D25" t="s">
        <v>214</v>
      </c>
      <c r="E25">
        <v>10</v>
      </c>
      <c r="F25">
        <f t="shared" ref="F25:F27" si="0">C$24/4</f>
        <v>0.5</v>
      </c>
    </row>
    <row r="26" spans="1:12" x14ac:dyDescent="0.55000000000000004">
      <c r="D26" t="s">
        <v>215</v>
      </c>
      <c r="E26">
        <v>10</v>
      </c>
      <c r="F26">
        <f t="shared" si="0"/>
        <v>0.5</v>
      </c>
    </row>
    <row r="27" spans="1:12" x14ac:dyDescent="0.55000000000000004">
      <c r="D27" t="s">
        <v>216</v>
      </c>
      <c r="E27">
        <v>10</v>
      </c>
      <c r="F27">
        <f t="shared" si="0"/>
        <v>0.5</v>
      </c>
    </row>
    <row r="28" spans="1:12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12" x14ac:dyDescent="0.55000000000000004">
      <c r="D29" t="s">
        <v>217</v>
      </c>
      <c r="E29">
        <v>495</v>
      </c>
      <c r="F29">
        <v>0</v>
      </c>
    </row>
    <row r="30" spans="1:12" x14ac:dyDescent="0.55000000000000004">
      <c r="A30" t="s">
        <v>218</v>
      </c>
      <c r="B30">
        <v>0</v>
      </c>
      <c r="C30">
        <v>0.5</v>
      </c>
      <c r="D30" t="s">
        <v>218</v>
      </c>
      <c r="E30">
        <v>10</v>
      </c>
      <c r="F30">
        <v>0.5</v>
      </c>
    </row>
    <row r="32" spans="1:12" x14ac:dyDescent="0.55000000000000004">
      <c r="A32" s="7" t="s">
        <v>219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220</v>
      </c>
      <c r="B33">
        <f>(G4*C4+G14*C14+G20*C20)/C32</f>
        <v>10</v>
      </c>
    </row>
    <row r="34" spans="1:2" x14ac:dyDescent="0.55000000000000004">
      <c r="A34" s="7" t="s">
        <v>221</v>
      </c>
      <c r="B34" s="3">
        <f>ROUND(B33,2)</f>
        <v>10</v>
      </c>
    </row>
    <row r="35" spans="1:2" x14ac:dyDescent="0.55000000000000004">
      <c r="A35" s="7" t="s">
        <v>278</v>
      </c>
      <c r="B35">
        <f>H4+H14+H20</f>
        <v>30</v>
      </c>
    </row>
    <row r="36" spans="1:2" x14ac:dyDescent="0.55000000000000004">
      <c r="A36" s="7" t="s">
        <v>279</v>
      </c>
      <c r="B36">
        <f>I4+I14+I20</f>
        <v>30</v>
      </c>
    </row>
    <row r="37" spans="1:2" x14ac:dyDescent="0.55000000000000004">
      <c r="A37" s="7" t="s">
        <v>328</v>
      </c>
      <c r="B37">
        <f>'Read me'!H8</f>
        <v>35</v>
      </c>
    </row>
    <row r="38" spans="1:2" x14ac:dyDescent="0.55000000000000004">
      <c r="A38" s="7" t="s">
        <v>329</v>
      </c>
      <c r="B38" s="14"/>
    </row>
    <row r="39" spans="1:2" x14ac:dyDescent="0.55000000000000004">
      <c r="A39" s="7" t="s">
        <v>324</v>
      </c>
      <c r="B39" s="14">
        <v>2</v>
      </c>
    </row>
  </sheetData>
  <conditionalFormatting sqref="B34">
    <cfRule type="expression" dxfId="89" priority="1">
      <formula>B34&gt;11</formula>
    </cfRule>
    <cfRule type="expression" dxfId="88" priority="2">
      <formula>B34&gt;=10</formula>
    </cfRule>
    <cfRule type="expression" dxfId="87" priority="3">
      <formula>B34&lt;10</formula>
    </cfRule>
  </conditionalFormatting>
  <conditionalFormatting sqref="B36">
    <cfRule type="expression" dxfId="86" priority="13">
      <formula>B36=B35</formula>
    </cfRule>
    <cfRule type="expression" dxfId="85" priority="14">
      <formula>B36&lt;B35</formula>
    </cfRule>
  </conditionalFormatting>
  <conditionalFormatting sqref="G4">
    <cfRule type="expression" dxfId="84" priority="10">
      <formula>G4&gt;11</formula>
    </cfRule>
    <cfRule type="expression" dxfId="83" priority="11">
      <formula>G4&gt;=10</formula>
    </cfRule>
    <cfRule type="expression" dxfId="82" priority="12">
      <formula>G4&lt;10</formula>
    </cfRule>
  </conditionalFormatting>
  <conditionalFormatting sqref="G14">
    <cfRule type="expression" dxfId="81" priority="7">
      <formula>G14&gt;11</formula>
    </cfRule>
    <cfRule type="expression" dxfId="80" priority="8">
      <formula>G14&gt;=10</formula>
    </cfRule>
    <cfRule type="expression" dxfId="79" priority="9">
      <formula>G14&lt;10</formula>
    </cfRule>
  </conditionalFormatting>
  <conditionalFormatting sqref="G20">
    <cfRule type="expression" dxfId="78" priority="4">
      <formula>G20&gt;11</formula>
    </cfRule>
    <cfRule type="expression" dxfId="77" priority="5">
      <formula>G20&gt;=10</formula>
    </cfRule>
    <cfRule type="expression" dxfId="76" priority="6">
      <formula>G20&lt;10</formula>
    </cfRule>
  </conditionalFormatting>
  <conditionalFormatting sqref="I4">
    <cfRule type="expression" dxfId="75" priority="21">
      <formula>I4=H4</formula>
    </cfRule>
    <cfRule type="expression" dxfId="74" priority="22">
      <formula>I4&lt;H4</formula>
    </cfRule>
  </conditionalFormatting>
  <conditionalFormatting sqref="I14">
    <cfRule type="expression" dxfId="73" priority="17">
      <formula>I14=H14</formula>
    </cfRule>
    <cfRule type="expression" dxfId="72" priority="18">
      <formula>I14&lt;H14</formula>
    </cfRule>
  </conditionalFormatting>
  <conditionalFormatting sqref="I20">
    <cfRule type="expression" dxfId="71" priority="15">
      <formula>I20=H20</formula>
    </cfRule>
    <cfRule type="expression" dxfId="70" priority="16">
      <formula>I20&lt;H20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L25"/>
  <sheetViews>
    <sheetView topLeftCell="A13" zoomScale="85" zoomScaleNormal="85" workbookViewId="0">
      <selection activeCell="B23" sqref="B23"/>
    </sheetView>
  </sheetViews>
  <sheetFormatPr defaultColWidth="10.9453125" defaultRowHeight="14.4" x14ac:dyDescent="0.55000000000000004"/>
  <cols>
    <col min="1" max="1" width="33.3671875" bestFit="1" customWidth="1"/>
    <col min="2" max="2" width="15.41796875" bestFit="1" customWidth="1"/>
    <col min="3" max="3" width="7" bestFit="1" customWidth="1"/>
    <col min="4" max="4" width="11.4179687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9" customWidth="1"/>
    <col min="10" max="10" width="14.5234375" bestFit="1" customWidth="1"/>
    <col min="11" max="11" width="11.734375" bestFit="1" customWidth="1"/>
  </cols>
  <sheetData>
    <row r="1" spans="1:12" ht="26.4" x14ac:dyDescent="1">
      <c r="A1" s="6" t="s">
        <v>229</v>
      </c>
      <c r="B1" s="7"/>
    </row>
    <row r="2" spans="1:12" ht="39" x14ac:dyDescent="0.75">
      <c r="A2" s="8" t="s">
        <v>189</v>
      </c>
      <c r="B2" s="8" t="s">
        <v>190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224</v>
      </c>
      <c r="B4">
        <f>B5+B6</f>
        <v>395</v>
      </c>
      <c r="C4">
        <f>C5+C6</f>
        <v>12</v>
      </c>
      <c r="D4" t="s">
        <v>193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  <c r="J4" s="14"/>
      <c r="K4">
        <f>'Read me'!I8</f>
        <v>35</v>
      </c>
      <c r="L4" s="14"/>
    </row>
    <row r="5" spans="1:12" x14ac:dyDescent="0.55000000000000004">
      <c r="A5" t="s">
        <v>163</v>
      </c>
      <c r="B5">
        <v>365</v>
      </c>
      <c r="C5">
        <v>10</v>
      </c>
      <c r="D5" t="s">
        <v>225</v>
      </c>
      <c r="E5">
        <v>10</v>
      </c>
      <c r="F5">
        <f>C5</f>
        <v>10</v>
      </c>
    </row>
    <row r="6" spans="1:12" x14ac:dyDescent="0.55000000000000004">
      <c r="A6" t="s">
        <v>164</v>
      </c>
      <c r="B6">
        <v>30</v>
      </c>
      <c r="C6">
        <v>2</v>
      </c>
      <c r="D6" t="s">
        <v>225</v>
      </c>
      <c r="E6">
        <v>10</v>
      </c>
      <c r="F6">
        <f>C6</f>
        <v>2</v>
      </c>
    </row>
    <row r="8" spans="1:12" x14ac:dyDescent="0.55000000000000004">
      <c r="A8" s="7" t="s">
        <v>226</v>
      </c>
      <c r="B8">
        <f>B9+B10+B11+B12+B13</f>
        <v>120</v>
      </c>
      <c r="C8">
        <f>C9+C10+C11+C12+C13</f>
        <v>6</v>
      </c>
      <c r="D8" t="s">
        <v>193</v>
      </c>
      <c r="E8">
        <f>(E9*F9+E10*F10+E11*F11+E12*F12+E13*F13)/(F9+F10+F11+F12+F13)</f>
        <v>10</v>
      </c>
      <c r="G8">
        <f>ROUND(E8, 2)</f>
        <v>10</v>
      </c>
      <c r="H8">
        <v>9</v>
      </c>
      <c r="I8">
        <f>IF(G8&gt;=10,H8,0)</f>
        <v>9</v>
      </c>
      <c r="J8" s="14"/>
      <c r="K8">
        <f>'Read me'!I8</f>
        <v>35</v>
      </c>
      <c r="L8" s="14"/>
    </row>
    <row r="9" spans="1:12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12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12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12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12" x14ac:dyDescent="0.55000000000000004">
      <c r="A13" t="s">
        <v>227</v>
      </c>
      <c r="B13">
        <v>30</v>
      </c>
      <c r="C13">
        <v>0</v>
      </c>
      <c r="D13" t="s">
        <v>5</v>
      </c>
      <c r="E13">
        <v>10</v>
      </c>
      <c r="F13">
        <f>C13</f>
        <v>0</v>
      </c>
    </row>
    <row r="15" spans="1:12" x14ac:dyDescent="0.55000000000000004">
      <c r="A15" s="7" t="s">
        <v>170</v>
      </c>
      <c r="B15">
        <f>B16</f>
        <v>500</v>
      </c>
      <c r="C15">
        <f>C16</f>
        <v>9</v>
      </c>
      <c r="D15" t="s">
        <v>193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  <c r="J15" s="14"/>
      <c r="K15">
        <f>'Read me'!I8</f>
        <v>35</v>
      </c>
      <c r="L15" s="14"/>
    </row>
    <row r="16" spans="1:12" x14ac:dyDescent="0.55000000000000004">
      <c r="A16" t="s">
        <v>228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219</v>
      </c>
      <c r="B18">
        <f>B4+B8+B15</f>
        <v>1015</v>
      </c>
      <c r="C18">
        <f>C15+C8+C4</f>
        <v>27</v>
      </c>
    </row>
    <row r="19" spans="1:3" x14ac:dyDescent="0.55000000000000004">
      <c r="A19" s="7" t="s">
        <v>220</v>
      </c>
      <c r="B19">
        <f>(G4*C4+G8*C8+G15*C15)/C18</f>
        <v>10</v>
      </c>
    </row>
    <row r="20" spans="1:3" x14ac:dyDescent="0.55000000000000004">
      <c r="A20" s="7" t="s">
        <v>221</v>
      </c>
      <c r="B20" s="3">
        <f>ROUND(B19,2)</f>
        <v>10</v>
      </c>
    </row>
    <row r="21" spans="1:3" x14ac:dyDescent="0.55000000000000004">
      <c r="A21" s="7" t="s">
        <v>278</v>
      </c>
      <c r="B21">
        <f>H4+H8+H15</f>
        <v>30</v>
      </c>
    </row>
    <row r="22" spans="1:3" x14ac:dyDescent="0.55000000000000004">
      <c r="A22" s="7" t="s">
        <v>279</v>
      </c>
      <c r="B22">
        <f>I4+I8+I15</f>
        <v>30</v>
      </c>
    </row>
    <row r="23" spans="1:3" x14ac:dyDescent="0.55000000000000004">
      <c r="A23" s="7" t="s">
        <v>328</v>
      </c>
      <c r="B23">
        <f>'Read me'!I8</f>
        <v>35</v>
      </c>
    </row>
    <row r="24" spans="1:3" x14ac:dyDescent="0.55000000000000004">
      <c r="A24" s="7" t="s">
        <v>329</v>
      </c>
      <c r="B24" s="14"/>
    </row>
    <row r="25" spans="1:3" x14ac:dyDescent="0.55000000000000004">
      <c r="A25" s="7" t="s">
        <v>324</v>
      </c>
      <c r="B25" s="14">
        <v>2</v>
      </c>
    </row>
  </sheetData>
  <conditionalFormatting sqref="B20">
    <cfRule type="expression" dxfId="69" priority="1">
      <formula>B20&gt;11</formula>
    </cfRule>
    <cfRule type="expression" dxfId="68" priority="2">
      <formula>B20&gt;=10</formula>
    </cfRule>
    <cfRule type="expression" dxfId="67" priority="3">
      <formula>B20&lt;10</formula>
    </cfRule>
  </conditionalFormatting>
  <conditionalFormatting sqref="B22">
    <cfRule type="expression" dxfId="66" priority="13">
      <formula>B22=B21</formula>
    </cfRule>
    <cfRule type="expression" dxfId="65" priority="14">
      <formula>B22&lt;B21</formula>
    </cfRule>
  </conditionalFormatting>
  <conditionalFormatting sqref="G4">
    <cfRule type="expression" dxfId="64" priority="10">
      <formula>G4&gt;11</formula>
    </cfRule>
    <cfRule type="expression" dxfId="63" priority="11">
      <formula>G4&gt;=10</formula>
    </cfRule>
    <cfRule type="expression" dxfId="62" priority="12">
      <formula>G4&lt;10</formula>
    </cfRule>
  </conditionalFormatting>
  <conditionalFormatting sqref="G8">
    <cfRule type="expression" dxfId="61" priority="7">
      <formula>G8&gt;11</formula>
    </cfRule>
    <cfRule type="expression" dxfId="60" priority="8">
      <formula>G8&gt;=10</formula>
    </cfRule>
    <cfRule type="expression" dxfId="59" priority="9">
      <formula>G8&lt;10</formula>
    </cfRule>
  </conditionalFormatting>
  <conditionalFormatting sqref="G15">
    <cfRule type="expression" dxfId="58" priority="4">
      <formula>G15&gt;11</formula>
    </cfRule>
    <cfRule type="expression" dxfId="57" priority="5">
      <formula>G15&gt;=10</formula>
    </cfRule>
    <cfRule type="expression" dxfId="56" priority="6">
      <formula>G15&lt;10</formula>
    </cfRule>
  </conditionalFormatting>
  <conditionalFormatting sqref="I4">
    <cfRule type="expression" dxfId="55" priority="19">
      <formula>I4=H4</formula>
    </cfRule>
    <cfRule type="expression" dxfId="54" priority="20">
      <formula>I4&lt;H4</formula>
    </cfRule>
  </conditionalFormatting>
  <conditionalFormatting sqref="I8">
    <cfRule type="expression" dxfId="53" priority="17">
      <formula>I8=H8</formula>
    </cfRule>
    <cfRule type="expression" dxfId="52" priority="18">
      <formula>I8&lt;H8</formula>
    </cfRule>
  </conditionalFormatting>
  <conditionalFormatting sqref="I15">
    <cfRule type="expression" dxfId="51" priority="15">
      <formula>I15=H15</formula>
    </cfRule>
    <cfRule type="expression" dxfId="50" priority="16">
      <formula>I15&lt;H15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8E8B8-58A4-4419-9D0A-272F5245AAF8}">
          <x14:formula1>
            <xm:f>'Menus déroulants'!$N$2:$N$3</xm:f>
          </x14:formula1>
          <xm:sqref>C13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N35"/>
  <sheetViews>
    <sheetView zoomScale="85" zoomScaleNormal="85" workbookViewId="0">
      <selection activeCell="N4" sqref="N4"/>
    </sheetView>
  </sheetViews>
  <sheetFormatPr defaultColWidth="10.9453125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4" x14ac:dyDescent="0.55000000000000004">
      <c r="A1" t="s">
        <v>9</v>
      </c>
      <c r="B1" t="s">
        <v>10</v>
      </c>
      <c r="C1" t="s">
        <v>233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4" x14ac:dyDescent="0.55000000000000004">
      <c r="A2" t="s">
        <v>27</v>
      </c>
      <c r="B2" t="s">
        <v>30</v>
      </c>
      <c r="C2" t="s">
        <v>234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  <c r="N2">
        <v>0</v>
      </c>
    </row>
    <row r="3" spans="1:14" x14ac:dyDescent="0.55000000000000004">
      <c r="A3" t="s">
        <v>28</v>
      </c>
      <c r="B3" t="s">
        <v>31</v>
      </c>
      <c r="C3" t="s">
        <v>235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  <c r="N3">
        <v>2</v>
      </c>
    </row>
    <row r="4" spans="1:14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4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4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4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4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4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4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4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4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4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4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4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4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L38"/>
  <sheetViews>
    <sheetView topLeftCell="A13" zoomScale="70" zoomScaleNormal="70" workbookViewId="0">
      <selection activeCell="K26" sqref="K26"/>
    </sheetView>
  </sheetViews>
  <sheetFormatPr defaultColWidth="10.9453125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4" max="5" width="8" bestFit="1" customWidth="1"/>
    <col min="6" max="6" width="7.05078125" bestFit="1" customWidth="1"/>
    <col min="7" max="7" width="11.05078125" bestFit="1" customWidth="1"/>
    <col min="8" max="8" width="18.3125" bestFit="1" customWidth="1"/>
    <col min="9" max="9" width="17.83984375" bestFit="1" customWidth="1"/>
    <col min="10" max="10" width="14.41796875" bestFit="1" customWidth="1"/>
    <col min="11" max="11" width="12.15625" customWidth="1"/>
  </cols>
  <sheetData>
    <row r="1" spans="1:12" ht="26.4" x14ac:dyDescent="1">
      <c r="A1" s="6" t="s">
        <v>230</v>
      </c>
      <c r="B1" s="7"/>
    </row>
    <row r="2" spans="1:12" ht="38.1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231</v>
      </c>
      <c r="B4">
        <f>B5+B6+B7+B8+B9</f>
        <v>365</v>
      </c>
      <c r="C4">
        <f>C5+C6+C7+C8+C9</f>
        <v>6</v>
      </c>
      <c r="D4" t="s">
        <v>193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  <c r="J4" s="14"/>
      <c r="K4">
        <f>'Read me'!J8</f>
        <v>35</v>
      </c>
      <c r="L4" s="14"/>
    </row>
    <row r="5" spans="1:12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12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12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12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12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12" x14ac:dyDescent="0.55000000000000004">
      <c r="A11" s="7" t="s">
        <v>232</v>
      </c>
      <c r="B11">
        <f>B12+B13+B14</f>
        <v>60</v>
      </c>
      <c r="C11">
        <f>C12+C13+C14</f>
        <v>4</v>
      </c>
      <c r="D11" t="s">
        <v>193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  <c r="J11" s="14"/>
      <c r="K11">
        <f>'Read me'!J8</f>
        <v>35</v>
      </c>
      <c r="L11" s="14"/>
    </row>
    <row r="12" spans="1:12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12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12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12" x14ac:dyDescent="0.55000000000000004">
      <c r="A16" s="7" t="s">
        <v>236</v>
      </c>
      <c r="B16">
        <f>B17+B18+B19</f>
        <v>90</v>
      </c>
      <c r="C16">
        <f>C17+C18+C19</f>
        <v>6</v>
      </c>
      <c r="D16" t="s">
        <v>193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  <c r="J16" s="14"/>
      <c r="K16">
        <f>'Read me'!J8</f>
        <v>35</v>
      </c>
      <c r="L16" s="14"/>
    </row>
    <row r="17" spans="1:12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12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12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12" x14ac:dyDescent="0.55000000000000004">
      <c r="A21" s="7" t="s">
        <v>237</v>
      </c>
      <c r="B21">
        <f>B22+B23+B24</f>
        <v>90</v>
      </c>
      <c r="C21">
        <f>C22+C23+C24</f>
        <v>6</v>
      </c>
      <c r="D21" t="s">
        <v>193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  <c r="J21" s="14"/>
      <c r="K21">
        <f>'Read me'!J8</f>
        <v>35</v>
      </c>
      <c r="L21" s="14"/>
    </row>
    <row r="22" spans="1:12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12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12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12" x14ac:dyDescent="0.55000000000000004">
      <c r="A26" s="7" t="s">
        <v>238</v>
      </c>
      <c r="B26">
        <f>B27+B28+B29</f>
        <v>90</v>
      </c>
      <c r="C26">
        <f>C27+C28+C29</f>
        <v>6</v>
      </c>
      <c r="D26" t="s">
        <v>193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  <c r="J26" s="14"/>
      <c r="K26">
        <f>'Read me'!J8</f>
        <v>35</v>
      </c>
      <c r="L26" s="14"/>
    </row>
    <row r="27" spans="1:12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12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12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12" x14ac:dyDescent="0.55000000000000004">
      <c r="A31" s="7" t="s">
        <v>219</v>
      </c>
      <c r="B31">
        <f>B4+B11+B16+B21+B26</f>
        <v>695</v>
      </c>
      <c r="C31">
        <f>C4+C11+C16+C21+C26</f>
        <v>28</v>
      </c>
    </row>
    <row r="32" spans="1:12" x14ac:dyDescent="0.55000000000000004">
      <c r="A32" s="7" t="s">
        <v>220</v>
      </c>
      <c r="B32" s="13">
        <f>(G4*C4+G11*C11+G16*C16+C21*G21+C26*G26)/C31</f>
        <v>10</v>
      </c>
    </row>
    <row r="33" spans="1:2" x14ac:dyDescent="0.55000000000000004">
      <c r="A33" s="7" t="s">
        <v>221</v>
      </c>
      <c r="B33" s="3">
        <f>ROUND(B32,2)</f>
        <v>10</v>
      </c>
    </row>
    <row r="34" spans="1:2" x14ac:dyDescent="0.55000000000000004">
      <c r="A34" s="7" t="s">
        <v>278</v>
      </c>
      <c r="B34">
        <f>H4+H11+H16+H21+H26</f>
        <v>30</v>
      </c>
    </row>
    <row r="35" spans="1:2" x14ac:dyDescent="0.55000000000000004">
      <c r="A35" s="7" t="s">
        <v>279</v>
      </c>
      <c r="B35">
        <f>I4+I11+I16+I21+I26</f>
        <v>30</v>
      </c>
    </row>
    <row r="36" spans="1:2" x14ac:dyDescent="0.55000000000000004">
      <c r="A36" s="7" t="s">
        <v>328</v>
      </c>
      <c r="B36">
        <f>'Read me'!J8</f>
        <v>35</v>
      </c>
    </row>
    <row r="37" spans="1:2" x14ac:dyDescent="0.55000000000000004">
      <c r="A37" s="7" t="s">
        <v>329</v>
      </c>
      <c r="B37" s="14"/>
    </row>
    <row r="38" spans="1:2" x14ac:dyDescent="0.55000000000000004">
      <c r="A38" s="7" t="s">
        <v>324</v>
      </c>
      <c r="B38" s="14">
        <v>2</v>
      </c>
    </row>
  </sheetData>
  <conditionalFormatting sqref="B33">
    <cfRule type="expression" dxfId="49" priority="1">
      <formula>B33&gt;11</formula>
    </cfRule>
    <cfRule type="expression" dxfId="48" priority="2">
      <formula>B33&gt;=10</formula>
    </cfRule>
    <cfRule type="expression" dxfId="47" priority="3">
      <formula>B33&lt;10</formula>
    </cfRule>
  </conditionalFormatting>
  <conditionalFormatting sqref="B35">
    <cfRule type="expression" dxfId="46" priority="20">
      <formula>B35&lt;B34</formula>
    </cfRule>
    <cfRule type="expression" dxfId="45" priority="21">
      <formula>B35=B34</formula>
    </cfRule>
  </conditionalFormatting>
  <conditionalFormatting sqref="G4">
    <cfRule type="expression" dxfId="44" priority="17">
      <formula>G4&gt;11</formula>
    </cfRule>
    <cfRule type="expression" dxfId="43" priority="18">
      <formula>G4&gt;=10</formula>
    </cfRule>
    <cfRule type="expression" dxfId="42" priority="19">
      <formula>G4&lt;10</formula>
    </cfRule>
  </conditionalFormatting>
  <conditionalFormatting sqref="G11">
    <cfRule type="expression" dxfId="41" priority="14">
      <formula>G11&gt;11</formula>
    </cfRule>
    <cfRule type="expression" dxfId="40" priority="15">
      <formula>G11&gt;=10</formula>
    </cfRule>
    <cfRule type="expression" dxfId="39" priority="16">
      <formula>G11&lt;10</formula>
    </cfRule>
  </conditionalFormatting>
  <conditionalFormatting sqref="G16">
    <cfRule type="expression" dxfId="38" priority="10">
      <formula>G16&gt;11</formula>
    </cfRule>
    <cfRule type="expression" dxfId="37" priority="11">
      <formula>G16&gt;=10</formula>
    </cfRule>
    <cfRule type="expression" dxfId="36" priority="12">
      <formula>G16&lt;10</formula>
    </cfRule>
  </conditionalFormatting>
  <conditionalFormatting sqref="G21">
    <cfRule type="expression" dxfId="35" priority="7">
      <formula>G21&gt;11</formula>
    </cfRule>
    <cfRule type="expression" dxfId="34" priority="8">
      <formula>G21&gt;=10</formula>
    </cfRule>
    <cfRule type="expression" dxfId="33" priority="9">
      <formula>G21&lt;10</formula>
    </cfRule>
  </conditionalFormatting>
  <conditionalFormatting sqref="G26">
    <cfRule type="expression" dxfId="32" priority="4">
      <formula>G26&gt;11</formula>
    </cfRule>
    <cfRule type="expression" dxfId="31" priority="5">
      <formula>G26&gt;=10</formula>
    </cfRule>
    <cfRule type="expression" dxfId="30" priority="6">
      <formula>G26&lt;10</formula>
    </cfRule>
  </conditionalFormatting>
  <conditionalFormatting sqref="I4">
    <cfRule type="expression" dxfId="29" priority="29">
      <formula>I4=H4</formula>
    </cfRule>
    <cfRule type="expression" dxfId="28" priority="31">
      <formula>I4&lt;H4</formula>
    </cfRule>
  </conditionalFormatting>
  <conditionalFormatting sqref="I11">
    <cfRule type="expression" dxfId="27" priority="28">
      <formula>I11&lt;H11</formula>
    </cfRule>
    <cfRule type="expression" dxfId="26" priority="30">
      <formula>I11=H11</formula>
    </cfRule>
  </conditionalFormatting>
  <conditionalFormatting sqref="I16">
    <cfRule type="expression" dxfId="25" priority="24">
      <formula>I16=H16</formula>
    </cfRule>
    <cfRule type="expression" dxfId="24" priority="25">
      <formula>I16&lt;H16</formula>
    </cfRule>
  </conditionalFormatting>
  <conditionalFormatting sqref="I21">
    <cfRule type="expression" dxfId="23" priority="26">
      <formula>I21=H21</formula>
    </cfRule>
    <cfRule type="expression" dxfId="22" priority="27">
      <formula>I21&lt;H21</formula>
    </cfRule>
  </conditionalFormatting>
  <conditionalFormatting sqref="I26">
    <cfRule type="expression" dxfId="21" priority="22">
      <formula>I26&lt;H26</formula>
    </cfRule>
    <cfRule type="expression" dxfId="20" priority="23">
      <formula>I26=H26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L20"/>
  <sheetViews>
    <sheetView workbookViewId="0">
      <selection activeCell="K10" sqref="K10"/>
    </sheetView>
  </sheetViews>
  <sheetFormatPr defaultColWidth="10.9453125" defaultRowHeight="14.4" x14ac:dyDescent="0.55000000000000004"/>
  <cols>
    <col min="1" max="1" width="36.7890625" bestFit="1" customWidth="1"/>
    <col min="2" max="2" width="10.2617187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7.47265625" bestFit="1" customWidth="1"/>
    <col min="10" max="10" width="14.15625" bestFit="1" customWidth="1"/>
    <col min="11" max="11" width="11.47265625" bestFit="1" customWidth="1"/>
  </cols>
  <sheetData>
    <row r="1" spans="1:12" ht="26.4" x14ac:dyDescent="1">
      <c r="A1" s="6" t="s">
        <v>239</v>
      </c>
      <c r="B1" s="7"/>
    </row>
    <row r="2" spans="1:12" ht="58.5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292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240</v>
      </c>
      <c r="B4">
        <f>B5</f>
        <v>0</v>
      </c>
      <c r="C4">
        <f>C5</f>
        <v>0</v>
      </c>
      <c r="D4" t="s">
        <v>193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4">
        <f>IF(G4&gt;=10,H4,0)</f>
        <v>0</v>
      </c>
      <c r="J4" s="14"/>
      <c r="K4">
        <f>'Read me'!K8</f>
        <v>35</v>
      </c>
      <c r="L4" s="14"/>
    </row>
    <row r="5" spans="1:12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12" x14ac:dyDescent="0.55000000000000004">
      <c r="A7" s="7" t="s">
        <v>241</v>
      </c>
      <c r="B7">
        <f>B8</f>
        <v>0</v>
      </c>
      <c r="C7">
        <f>C8</f>
        <v>0</v>
      </c>
      <c r="D7" t="s">
        <v>193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4">
        <f>IF(G7&gt;=10,H7,0)</f>
        <v>0</v>
      </c>
      <c r="J7" s="14"/>
      <c r="K7">
        <f>'Read me'!K8</f>
        <v>35</v>
      </c>
      <c r="L7" s="14"/>
    </row>
    <row r="8" spans="1:12" x14ac:dyDescent="0.55000000000000004">
      <c r="A8" t="s">
        <v>242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12" x14ac:dyDescent="0.55000000000000004">
      <c r="A10" s="7" t="s">
        <v>241</v>
      </c>
      <c r="B10">
        <f>B11</f>
        <v>750</v>
      </c>
      <c r="C10">
        <f>C11</f>
        <v>30</v>
      </c>
      <c r="D10" t="s">
        <v>193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>
        <f>IF(G10&gt;=10,H10,0)</f>
        <v>30</v>
      </c>
      <c r="J10" s="14"/>
      <c r="K10">
        <f>'Read me'!K8</f>
        <v>35</v>
      </c>
      <c r="L10" s="14"/>
    </row>
    <row r="11" spans="1:12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12" x14ac:dyDescent="0.55000000000000004">
      <c r="A13" s="7" t="s">
        <v>219</v>
      </c>
      <c r="B13">
        <f>IF('Read me'!B5="OUI",B4+B7,B10)</f>
        <v>750</v>
      </c>
      <c r="C13">
        <f>C10+C7+C4</f>
        <v>30</v>
      </c>
    </row>
    <row r="14" spans="1:12" x14ac:dyDescent="0.55000000000000004">
      <c r="A14" s="7" t="s">
        <v>220</v>
      </c>
      <c r="B14" s="13">
        <f>(G4*C4+G7*C7+G10*C10)/C13</f>
        <v>10</v>
      </c>
    </row>
    <row r="15" spans="1:12" x14ac:dyDescent="0.55000000000000004">
      <c r="A15" s="7" t="s">
        <v>221</v>
      </c>
      <c r="B15" s="3">
        <f>ROUND(B14,2)</f>
        <v>10</v>
      </c>
    </row>
    <row r="16" spans="1:12" x14ac:dyDescent="0.55000000000000004">
      <c r="A16" s="7" t="s">
        <v>278</v>
      </c>
      <c r="B16">
        <f>H4+H7+H10</f>
        <v>30</v>
      </c>
    </row>
    <row r="17" spans="1:2" x14ac:dyDescent="0.55000000000000004">
      <c r="A17" s="7" t="s">
        <v>279</v>
      </c>
      <c r="B17">
        <f>I4+I7+I10</f>
        <v>30</v>
      </c>
    </row>
    <row r="18" spans="1:2" x14ac:dyDescent="0.55000000000000004">
      <c r="A18" s="7" t="s">
        <v>328</v>
      </c>
      <c r="B18">
        <f>'Read me'!K8</f>
        <v>35</v>
      </c>
    </row>
    <row r="19" spans="1:2" x14ac:dyDescent="0.55000000000000004">
      <c r="A19" s="7" t="s">
        <v>329</v>
      </c>
      <c r="B19" s="14"/>
    </row>
    <row r="20" spans="1:2" x14ac:dyDescent="0.55000000000000004">
      <c r="A20" s="7" t="s">
        <v>324</v>
      </c>
      <c r="B20" s="14">
        <v>2</v>
      </c>
    </row>
  </sheetData>
  <conditionalFormatting sqref="B15">
    <cfRule type="expression" dxfId="19" priority="9">
      <formula>B15&gt;11</formula>
    </cfRule>
    <cfRule type="expression" dxfId="18" priority="10">
      <formula>B15&gt;=10</formula>
    </cfRule>
    <cfRule type="expression" dxfId="17" priority="11">
      <formula>B15&lt;10</formula>
    </cfRule>
  </conditionalFormatting>
  <conditionalFormatting sqref="B17">
    <cfRule type="expression" dxfId="16" priority="1">
      <formula>B17=B16</formula>
    </cfRule>
    <cfRule type="expression" dxfId="15" priority="2">
      <formula>B17&lt;B16</formula>
    </cfRule>
  </conditionalFormatting>
  <conditionalFormatting sqref="G4">
    <cfRule type="expression" dxfId="14" priority="18">
      <formula>G4&gt;11</formula>
    </cfRule>
    <cfRule type="expression" dxfId="13" priority="19">
      <formula>G4&gt;=10</formula>
    </cfRule>
    <cfRule type="expression" dxfId="12" priority="20">
      <formula>G4&lt;10</formula>
    </cfRule>
  </conditionalFormatting>
  <conditionalFormatting sqref="G7">
    <cfRule type="expression" dxfId="11" priority="15">
      <formula>G7&gt;11</formula>
    </cfRule>
    <cfRule type="expression" dxfId="10" priority="16">
      <formula>G7&gt;=10</formula>
    </cfRule>
    <cfRule type="expression" dxfId="9" priority="17">
      <formula>G7&lt;10</formula>
    </cfRule>
  </conditionalFormatting>
  <conditionalFormatting sqref="G10">
    <cfRule type="expression" dxfId="8" priority="12">
      <formula>G10&gt;11</formula>
    </cfRule>
    <cfRule type="expression" dxfId="7" priority="13">
      <formula>G10&gt;=10</formula>
    </cfRule>
    <cfRule type="expression" dxfId="6" priority="14">
      <formula>G10&lt;10</formula>
    </cfRule>
  </conditionalFormatting>
  <conditionalFormatting sqref="I4">
    <cfRule type="expression" dxfId="5" priority="7">
      <formula>I4=H4</formula>
    </cfRule>
    <cfRule type="expression" dxfId="4" priority="8">
      <formula>I4&lt;H4</formula>
    </cfRule>
  </conditionalFormatting>
  <conditionalFormatting sqref="I7">
    <cfRule type="expression" dxfId="3" priority="5">
      <formula>I7=H7</formula>
    </cfRule>
    <cfRule type="expression" dxfId="2" priority="6">
      <formula>I7&lt;H7</formula>
    </cfRule>
  </conditionalFormatting>
  <conditionalFormatting sqref="I10">
    <cfRule type="expression" dxfId="1" priority="3">
      <formula>I10=H10</formula>
    </cfRule>
    <cfRule type="expression" dxfId="0" priority="4">
      <formula>I10&lt;H10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A1:L36"/>
  <sheetViews>
    <sheetView zoomScale="85" zoomScaleNormal="85" workbookViewId="0">
      <selection activeCell="B35" sqref="B35"/>
    </sheetView>
  </sheetViews>
  <sheetFormatPr defaultColWidth="10.9453125" defaultRowHeight="14.4" x14ac:dyDescent="0.55000000000000004"/>
  <cols>
    <col min="1" max="1" width="33.47265625" customWidth="1"/>
    <col min="2" max="2" width="10.578125" bestFit="1" customWidth="1"/>
    <col min="3" max="3" width="7" bestFit="1" customWidth="1"/>
    <col min="4" max="4" width="18.578125" bestFit="1" customWidth="1"/>
    <col min="5" max="5" width="8.1015625" bestFit="1" customWidth="1"/>
    <col min="6" max="6" width="7.15625" bestFit="1" customWidth="1"/>
    <col min="7" max="7" width="11.1015625" customWidth="1"/>
    <col min="8" max="8" width="18.578125" bestFit="1" customWidth="1"/>
    <col min="9" max="9" width="17.89453125" bestFit="1" customWidth="1"/>
    <col min="10" max="10" width="14.5234375" bestFit="1" customWidth="1"/>
    <col min="11" max="11" width="14.5234375" customWidth="1"/>
    <col min="12" max="12" width="14.26171875" bestFit="1" customWidth="1"/>
    <col min="13" max="13" width="7" bestFit="1" customWidth="1"/>
    <col min="14" max="14" width="10.89453125" bestFit="1" customWidth="1"/>
    <col min="15" max="15" width="18.3125" bestFit="1" customWidth="1"/>
    <col min="16" max="16" width="18.1015625" bestFit="1" customWidth="1"/>
  </cols>
  <sheetData>
    <row r="1" spans="1:12" ht="26.4" x14ac:dyDescent="1">
      <c r="A1" s="6" t="s">
        <v>288</v>
      </c>
      <c r="B1" s="7"/>
    </row>
    <row r="2" spans="1:12" ht="40.5" customHeight="1" x14ac:dyDescent="0.75">
      <c r="A2" s="8" t="s">
        <v>189</v>
      </c>
      <c r="B2" s="9" t="s">
        <v>296</v>
      </c>
      <c r="C2" s="9" t="s">
        <v>294</v>
      </c>
      <c r="D2" s="8"/>
      <c r="E2" s="8" t="s">
        <v>191</v>
      </c>
      <c r="F2" s="9" t="s">
        <v>295</v>
      </c>
      <c r="G2" s="9" t="s">
        <v>222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300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  <c r="J4" s="14"/>
      <c r="K4">
        <f>'Read me'!B8</f>
        <v>35</v>
      </c>
      <c r="L4" s="14"/>
    </row>
    <row r="5" spans="1:12" x14ac:dyDescent="0.55000000000000004">
      <c r="B5">
        <v>30</v>
      </c>
      <c r="D5" t="s">
        <v>36</v>
      </c>
      <c r="E5">
        <v>10</v>
      </c>
      <c r="F5">
        <f>C4/3</f>
        <v>5</v>
      </c>
    </row>
    <row r="6" spans="1:12" x14ac:dyDescent="0.55000000000000004">
      <c r="B6">
        <v>30</v>
      </c>
      <c r="D6" t="s">
        <v>38</v>
      </c>
      <c r="E6">
        <v>10</v>
      </c>
      <c r="F6">
        <f>C4/3</f>
        <v>5</v>
      </c>
    </row>
    <row r="7" spans="1:12" x14ac:dyDescent="0.55000000000000004">
      <c r="B7">
        <v>30</v>
      </c>
      <c r="D7" t="s">
        <v>39</v>
      </c>
      <c r="E7">
        <v>10</v>
      </c>
      <c r="F7">
        <f>C4/3</f>
        <v>5</v>
      </c>
    </row>
    <row r="9" spans="1:12" x14ac:dyDescent="0.55000000000000004">
      <c r="A9" s="7" t="s">
        <v>301</v>
      </c>
      <c r="B9">
        <f>B10+B11+B12+B13</f>
        <v>105</v>
      </c>
      <c r="C9">
        <f>C10+C13</f>
        <v>16.5</v>
      </c>
      <c r="D9" t="s">
        <v>193</v>
      </c>
      <c r="E9">
        <f>(E10*F10+E11*F11+E12*F12+E13*F13)/(C9)</f>
        <v>10</v>
      </c>
      <c r="G9">
        <f>ROUND(E9, 2)</f>
        <v>10</v>
      </c>
      <c r="H9">
        <v>8</v>
      </c>
      <c r="I9" s="14">
        <f>IF(G9&gt;=10,H9,0)</f>
        <v>8</v>
      </c>
      <c r="J9" s="14"/>
      <c r="K9">
        <f>'Read me'!B8</f>
        <v>35</v>
      </c>
      <c r="L9" s="14"/>
    </row>
    <row r="10" spans="1:12" x14ac:dyDescent="0.55000000000000004">
      <c r="A10" t="s">
        <v>302</v>
      </c>
      <c r="B10">
        <v>30</v>
      </c>
      <c r="C10">
        <v>11.5</v>
      </c>
      <c r="D10" t="s">
        <v>40</v>
      </c>
      <c r="E10">
        <v>10</v>
      </c>
      <c r="F10">
        <f>C10*2/5</f>
        <v>4.5999999999999996</v>
      </c>
    </row>
    <row r="11" spans="1:12" x14ac:dyDescent="0.55000000000000004">
      <c r="B11">
        <v>30</v>
      </c>
      <c r="D11" t="s">
        <v>41</v>
      </c>
      <c r="E11">
        <v>10</v>
      </c>
      <c r="F11">
        <f>C10*2/5</f>
        <v>4.5999999999999996</v>
      </c>
    </row>
    <row r="12" spans="1:12" x14ac:dyDescent="0.55000000000000004">
      <c r="B12">
        <v>15</v>
      </c>
      <c r="D12" t="s">
        <v>42</v>
      </c>
      <c r="E12">
        <v>10</v>
      </c>
      <c r="F12">
        <f>C10/5</f>
        <v>2.2999999999999998</v>
      </c>
    </row>
    <row r="13" spans="1:12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>
        <f>C13</f>
        <v>5</v>
      </c>
    </row>
    <row r="15" spans="1:12" x14ac:dyDescent="0.55000000000000004">
      <c r="A15" s="7" t="s">
        <v>303</v>
      </c>
      <c r="B15">
        <f>B16+B17</f>
        <v>45</v>
      </c>
      <c r="C15">
        <f>C16+C17</f>
        <v>7.5</v>
      </c>
      <c r="D15" t="s">
        <v>193</v>
      </c>
      <c r="E15">
        <f>(E16*F16+E17*F17)/(C15)</f>
        <v>10</v>
      </c>
      <c r="G15">
        <f>ROUND(E15,2)</f>
        <v>10</v>
      </c>
      <c r="H15">
        <v>4</v>
      </c>
      <c r="I15">
        <f>IF(G15&gt;=10,H15,0)</f>
        <v>4</v>
      </c>
      <c r="J15" s="14"/>
      <c r="K15">
        <f>'Read me'!B8</f>
        <v>35</v>
      </c>
      <c r="L15" s="14"/>
    </row>
    <row r="16" spans="1:12" x14ac:dyDescent="0.55000000000000004">
      <c r="A16" t="s">
        <v>44</v>
      </c>
      <c r="B16">
        <v>30</v>
      </c>
      <c r="C16">
        <v>5</v>
      </c>
      <c r="D16" t="s">
        <v>5</v>
      </c>
      <c r="E16">
        <v>10</v>
      </c>
      <c r="F16">
        <f>C16</f>
        <v>5</v>
      </c>
    </row>
    <row r="17" spans="1:12" x14ac:dyDescent="0.55000000000000004">
      <c r="A17" t="s">
        <v>304</v>
      </c>
      <c r="B17">
        <v>15</v>
      </c>
      <c r="C17">
        <v>2.5</v>
      </c>
      <c r="D17" t="s">
        <v>5</v>
      </c>
      <c r="E17">
        <v>10</v>
      </c>
      <c r="F17">
        <f>C17</f>
        <v>2.5</v>
      </c>
    </row>
    <row r="19" spans="1:12" x14ac:dyDescent="0.55000000000000004">
      <c r="A19" s="7" t="s">
        <v>305</v>
      </c>
      <c r="B19">
        <f>B20+B21</f>
        <v>60</v>
      </c>
      <c r="C19">
        <f>C20+C21</f>
        <v>10</v>
      </c>
      <c r="D19" t="s">
        <v>193</v>
      </c>
      <c r="E19">
        <f>(E20*F20+E21*F21)/(C19)</f>
        <v>10</v>
      </c>
      <c r="G19">
        <f>ROUND(E19,2)</f>
        <v>10</v>
      </c>
      <c r="H19">
        <v>5</v>
      </c>
      <c r="I19">
        <f>IF(G19&gt;=10,H19,0)</f>
        <v>5</v>
      </c>
      <c r="J19" s="14"/>
      <c r="K19">
        <f>'Read me'!B8</f>
        <v>35</v>
      </c>
      <c r="L19" s="14"/>
    </row>
    <row r="20" spans="1:12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>
        <f>C20</f>
        <v>5</v>
      </c>
    </row>
    <row r="21" spans="1:12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>
        <f>C21</f>
        <v>5</v>
      </c>
    </row>
    <row r="23" spans="1:12" x14ac:dyDescent="0.55000000000000004">
      <c r="A23" s="7" t="s">
        <v>306</v>
      </c>
      <c r="B23">
        <f>B24+B25+B26+B27</f>
        <v>90</v>
      </c>
      <c r="C23">
        <f>C24+C26+C25+C27</f>
        <v>15</v>
      </c>
      <c r="D23" t="s">
        <v>193</v>
      </c>
      <c r="E23">
        <f>(E24*F24+E25*F25+E26*F26+E27*F27)/(C23)</f>
        <v>10</v>
      </c>
      <c r="G23">
        <f>ROUND(E23,2)</f>
        <v>10</v>
      </c>
      <c r="H23">
        <v>6</v>
      </c>
      <c r="I23">
        <f>IF(G23&gt;=10,H23,0)</f>
        <v>6</v>
      </c>
      <c r="J23" s="14"/>
      <c r="K23">
        <f>'Read me'!B8</f>
        <v>35</v>
      </c>
      <c r="L23" s="14"/>
    </row>
    <row r="24" spans="1:12" x14ac:dyDescent="0.55000000000000004">
      <c r="A24" t="str">
        <f>IF('Read me'!B4="CGSI","Math",IF('Read me'!B4="CIR","Algo C expert",IF('Read me'!B4="BIOST","Biocellulaire",IF('Read me'!B4="CENT","Introduction to economics",IF('Read me'!B4="EST","Changement climatique et sociétés",IF('Read me'!B4="BIAST","Bio veg (DA)",IF('Read me'!B4="MECA","Mathématiques - compléments","autre")))))))</f>
        <v>Math</v>
      </c>
      <c r="B24">
        <f>IF('Read me'!B4="CGSI",60,IF('Read me'!B4="CIR",45,IF('Read me'!B4="BIOST",60,IF('Read me'!B4="CENT",30,IF('Read me'!B4="EST",30,IF('Read me'!B4="BIAST",15,IF('Read me'!B4="MECA",15,0)))))))</f>
        <v>60</v>
      </c>
      <c r="C24">
        <f>IF('Read me'!B4="CGSI",10,IF('Read me'!B4="CIR",7.5,IF('Read me'!B4="BIOST",10,IF('Read me'!B4="CENT",5,IF('Read me'!B4="EST",5,IF('Read me'!B4="BIAST",2.5,IF('Read me'!B4="MECA",2.5,0)))))))</f>
        <v>10</v>
      </c>
      <c r="D24" t="s">
        <v>5</v>
      </c>
      <c r="E24">
        <v>10</v>
      </c>
      <c r="F24">
        <f>C24</f>
        <v>10</v>
      </c>
    </row>
    <row r="25" spans="1:12" x14ac:dyDescent="0.55000000000000004">
      <c r="A25" t="str">
        <f>IF('Read me'!B4="CGSI","Physique",IF('Read me'!B4="CIR","Web frontend",IF('Read me'!B4="BIOST","Histologie",IF('Read me'!B4="CENT","Leadership",IF('Read me'!B4="EST","Changement climatique : causes physiques",IF('Read me'!B4="BIAST","Physio veg (DA; nov)",IF('Read me'!B4="MECA","Sciences de l'ingénieur - compléments","autre")))))))</f>
        <v>Physique</v>
      </c>
      <c r="B25">
        <f>IF('Read me'!B4="CGSI",15,IF('Read me'!B4="CIR",30,IF('Read me'!B4="BIOST",15,IF('Read me'!B4="CENT",30,IF('Read me'!B4="EST",30,IF('Read me'!B4="BIAST",15,IF('Read me'!B4="MECA",15,0)))))))</f>
        <v>15</v>
      </c>
      <c r="C25">
        <f>IF('Read me'!B4="CGSI",2.5,IF('Read me'!B4="CIR",5,IF('Read me'!B4="BIOST",2.5,IF('Read me'!B4="CENT",5,IF('Read me'!B4="EST",5,IF('Read me'!B4="BIAST",2.5,IF('Read me'!B4="MECA",2.5,0)))))))</f>
        <v>2.5</v>
      </c>
      <c r="D25" t="s">
        <v>5</v>
      </c>
      <c r="E25">
        <v>10</v>
      </c>
      <c r="F25">
        <f>C25</f>
        <v>2.5</v>
      </c>
    </row>
    <row r="26" spans="1:12" x14ac:dyDescent="0.55000000000000004">
      <c r="A26" t="str">
        <f>IF('Read me'!B4="CGSI","Sciences de l'ingénieur",IF('Read me'!B4="CIR","Linux",IF('Read me'!B4="BIOST","Biochimie",IF('Read me'!B4="CENT","Introduction to marketing",IF('Read me'!B4="EST","Ecologie générale",IF('Read me'!B4="BIAST","Ecologie générale (FP+EST)",IF('Read me'!B4="MECA","Mécanique","autre")))))))</f>
        <v>Sciences de l'ingénieur</v>
      </c>
      <c r="B26">
        <f>IF('Read me'!B4="CGSI",15,IF('Read me'!B4="CIR",15,IF('Read me'!B4="BIOST",15,IF('Read me'!B4="CENT",30,IF('Read me'!B4="EST",30,IF('Read me'!B4="BIAST",30,IF('Read me'!B4="MECA",60,0)))))))</f>
        <v>15</v>
      </c>
      <c r="C26">
        <f>IF('Read me'!B4="CGSI",2.5,IF('Read me'!B4="CIR",2.5,IF('Read me'!B4="BIOST",2.5,IF('Read me'!B4="CENT",5,IF('Read me'!B4="EST",5,IF('Read me'!B4="BIAST",5,IF('Read me'!B4="MECA",10,0)))))))</f>
        <v>2.5</v>
      </c>
      <c r="D26" t="s">
        <v>5</v>
      </c>
      <c r="E26">
        <v>10</v>
      </c>
      <c r="F26">
        <f>C26</f>
        <v>2.5</v>
      </c>
    </row>
    <row r="27" spans="1:12" x14ac:dyDescent="0.55000000000000004">
      <c r="A27" t="str">
        <f>IF('Read me'!B4="BIAST","botanique(FP)"," ")</f>
        <v xml:space="preserve"> </v>
      </c>
      <c r="B27">
        <f>IF('Read me'!B4="BIAST",30,0)</f>
        <v>0</v>
      </c>
      <c r="C27">
        <f>IF('Read me'!B4="BIAST",5,0)</f>
        <v>0</v>
      </c>
      <c r="D27" t="str">
        <f>IF('Read me'!B4="BIAST","note"," ")</f>
        <v xml:space="preserve"> </v>
      </c>
      <c r="E27">
        <v>10</v>
      </c>
      <c r="F27">
        <f>C27</f>
        <v>0</v>
      </c>
    </row>
    <row r="29" spans="1:12" x14ac:dyDescent="0.55000000000000004">
      <c r="A29" s="7" t="s">
        <v>219</v>
      </c>
      <c r="B29">
        <f>B23+B19+B15+B9+B4</f>
        <v>390</v>
      </c>
      <c r="C29">
        <f>C15+C9+C4+C19+C23</f>
        <v>64</v>
      </c>
    </row>
    <row r="30" spans="1:12" x14ac:dyDescent="0.55000000000000004">
      <c r="A30" s="7" t="s">
        <v>220</v>
      </c>
      <c r="B30" s="13">
        <f>(G4*C4+G9*C9+G15*C15+G19*C19+G23*C23)/C29</f>
        <v>10</v>
      </c>
    </row>
    <row r="31" spans="1:12" x14ac:dyDescent="0.55000000000000004">
      <c r="A31" s="7" t="s">
        <v>221</v>
      </c>
      <c r="B31" s="3">
        <f>ROUND(B30,2)</f>
        <v>10</v>
      </c>
    </row>
    <row r="32" spans="1:12" x14ac:dyDescent="0.55000000000000004">
      <c r="A32" s="7" t="s">
        <v>278</v>
      </c>
      <c r="B32">
        <f>H4+H9+H15+H19+H23</f>
        <v>30</v>
      </c>
    </row>
    <row r="33" spans="1:2" x14ac:dyDescent="0.55000000000000004">
      <c r="A33" s="7" t="s">
        <v>279</v>
      </c>
      <c r="B33">
        <f>I4+I9+I15+I19+I23</f>
        <v>30</v>
      </c>
    </row>
    <row r="34" spans="1:2" x14ac:dyDescent="0.55000000000000004">
      <c r="A34" s="7" t="s">
        <v>328</v>
      </c>
      <c r="B34">
        <f>'Read me'!B8</f>
        <v>35</v>
      </c>
    </row>
    <row r="35" spans="1:2" x14ac:dyDescent="0.55000000000000004">
      <c r="A35" s="7" t="s">
        <v>329</v>
      </c>
      <c r="B35" s="14"/>
    </row>
    <row r="36" spans="1:2" x14ac:dyDescent="0.55000000000000004">
      <c r="A36" s="7" t="s">
        <v>324</v>
      </c>
      <c r="B36" s="14">
        <v>2</v>
      </c>
    </row>
  </sheetData>
  <conditionalFormatting sqref="B31">
    <cfRule type="expression" dxfId="259" priority="19">
      <formula>B31&gt;11</formula>
    </cfRule>
    <cfRule type="expression" dxfId="258" priority="20">
      <formula>B31&gt;=10</formula>
    </cfRule>
    <cfRule type="expression" dxfId="257" priority="21">
      <formula>B31&lt;10</formula>
    </cfRule>
  </conditionalFormatting>
  <conditionalFormatting sqref="B33">
    <cfRule type="expression" dxfId="256" priority="11">
      <formula>B33=B32</formula>
    </cfRule>
    <cfRule type="expression" dxfId="255" priority="12">
      <formula>B33&lt;B32</formula>
    </cfRule>
  </conditionalFormatting>
  <conditionalFormatting sqref="G4">
    <cfRule type="expression" dxfId="254" priority="28">
      <formula>G4&gt;11</formula>
    </cfRule>
    <cfRule type="expression" dxfId="253" priority="29">
      <formula>G4&gt;=10</formula>
    </cfRule>
    <cfRule type="expression" dxfId="252" priority="30">
      <formula>G4&lt;10</formula>
    </cfRule>
  </conditionalFormatting>
  <conditionalFormatting sqref="G9">
    <cfRule type="expression" dxfId="251" priority="25">
      <formula>G9&gt;11</formula>
    </cfRule>
    <cfRule type="expression" dxfId="250" priority="26">
      <formula>G9&gt;=10</formula>
    </cfRule>
    <cfRule type="expression" dxfId="249" priority="27">
      <formula>G9&lt;10</formula>
    </cfRule>
  </conditionalFormatting>
  <conditionalFormatting sqref="G15">
    <cfRule type="expression" dxfId="248" priority="22">
      <formula>G15&gt;11</formula>
    </cfRule>
    <cfRule type="expression" dxfId="247" priority="23">
      <formula>G15&gt;=10</formula>
    </cfRule>
    <cfRule type="expression" dxfId="246" priority="24">
      <formula>G15&lt;10</formula>
    </cfRule>
  </conditionalFormatting>
  <conditionalFormatting sqref="G19">
    <cfRule type="expression" dxfId="245" priority="4">
      <formula>G19&gt;11</formula>
    </cfRule>
    <cfRule type="expression" dxfId="244" priority="5">
      <formula>G19&gt;=10</formula>
    </cfRule>
    <cfRule type="expression" dxfId="243" priority="6">
      <formula>G19&lt;10</formula>
    </cfRule>
  </conditionalFormatting>
  <conditionalFormatting sqref="G23">
    <cfRule type="expression" dxfId="242" priority="1">
      <formula>G23&gt;11</formula>
    </cfRule>
    <cfRule type="expression" dxfId="241" priority="2">
      <formula>G23&gt;=10</formula>
    </cfRule>
    <cfRule type="expression" dxfId="240" priority="3">
      <formula>G23&lt;10</formula>
    </cfRule>
  </conditionalFormatting>
  <conditionalFormatting sqref="I4">
    <cfRule type="expression" dxfId="239" priority="17">
      <formula>I4=H4</formula>
    </cfRule>
    <cfRule type="expression" dxfId="238" priority="18">
      <formula>I4&lt;H4</formula>
    </cfRule>
  </conditionalFormatting>
  <conditionalFormatting sqref="I9">
    <cfRule type="expression" dxfId="237" priority="15">
      <formula>I9=H9</formula>
    </cfRule>
    <cfRule type="expression" dxfId="236" priority="16">
      <formula>I9&lt;H9</formula>
    </cfRule>
  </conditionalFormatting>
  <conditionalFormatting sqref="I15">
    <cfRule type="expression" dxfId="235" priority="13">
      <formula>I15=H15</formula>
    </cfRule>
    <cfRule type="expression" dxfId="234" priority="14">
      <formula>I15&lt;H15</formula>
    </cfRule>
  </conditionalFormatting>
  <conditionalFormatting sqref="I19">
    <cfRule type="expression" dxfId="233" priority="9">
      <formula>I19=H19</formula>
    </cfRule>
    <cfRule type="expression" dxfId="232" priority="10">
      <formula>I19&lt;H19</formula>
    </cfRule>
  </conditionalFormatting>
  <conditionalFormatting sqref="I23">
    <cfRule type="expression" dxfId="231" priority="7">
      <formula>I23=H23</formula>
    </cfRule>
    <cfRule type="expression" dxfId="230" priority="8">
      <formula>I23&lt;H23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D3" sqref="D3"/>
    </sheetView>
  </sheetViews>
  <sheetFormatPr defaultColWidth="10.9453125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L36"/>
  <sheetViews>
    <sheetView workbookViewId="0">
      <selection activeCell="K24" sqref="K24"/>
    </sheetView>
  </sheetViews>
  <sheetFormatPr defaultColWidth="10.9453125" defaultRowHeight="14.4" x14ac:dyDescent="0.55000000000000004"/>
  <cols>
    <col min="1" max="1" width="33.47265625" bestFit="1" customWidth="1"/>
    <col min="2" max="2" width="10.26171875" bestFit="1" customWidth="1"/>
    <col min="3" max="3" width="7.3125" customWidth="1"/>
    <col min="4" max="4" width="18.578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8.1015625" bestFit="1" customWidth="1"/>
    <col min="10" max="10" width="14.15625" bestFit="1" customWidth="1"/>
    <col min="11" max="11" width="11.47265625" bestFit="1" customWidth="1"/>
  </cols>
  <sheetData>
    <row r="1" spans="1:12" ht="26.4" x14ac:dyDescent="1">
      <c r="A1" s="6" t="s">
        <v>287</v>
      </c>
      <c r="B1" s="7"/>
    </row>
    <row r="2" spans="1:12" ht="58.5" x14ac:dyDescent="0.75">
      <c r="A2" s="8" t="s">
        <v>189</v>
      </c>
      <c r="B2" s="9" t="s">
        <v>296</v>
      </c>
      <c r="C2" s="9" t="s">
        <v>294</v>
      </c>
      <c r="D2" s="8"/>
      <c r="E2" s="8" t="s">
        <v>191</v>
      </c>
      <c r="F2" s="9" t="s">
        <v>295</v>
      </c>
      <c r="G2" s="9" t="s">
        <v>297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300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  <c r="J4" s="14"/>
      <c r="K4">
        <f>'Read me'!C8</f>
        <v>35</v>
      </c>
      <c r="L4" s="14"/>
    </row>
    <row r="5" spans="1:12" x14ac:dyDescent="0.55000000000000004">
      <c r="B5">
        <v>30</v>
      </c>
      <c r="D5" t="s">
        <v>36</v>
      </c>
      <c r="E5">
        <v>10</v>
      </c>
      <c r="F5">
        <f>C4/3</f>
        <v>5</v>
      </c>
    </row>
    <row r="6" spans="1:12" x14ac:dyDescent="0.55000000000000004">
      <c r="B6">
        <v>30</v>
      </c>
      <c r="D6" t="s">
        <v>38</v>
      </c>
      <c r="E6">
        <v>10</v>
      </c>
      <c r="F6">
        <f>C4/3</f>
        <v>5</v>
      </c>
    </row>
    <row r="7" spans="1:12" x14ac:dyDescent="0.55000000000000004">
      <c r="B7">
        <v>30</v>
      </c>
      <c r="D7" t="s">
        <v>39</v>
      </c>
      <c r="E7">
        <v>10</v>
      </c>
      <c r="F7">
        <f>C4/3</f>
        <v>5</v>
      </c>
    </row>
    <row r="9" spans="1:12" x14ac:dyDescent="0.55000000000000004">
      <c r="A9" s="7" t="s">
        <v>301</v>
      </c>
      <c r="B9">
        <f>B10+B11+B12+B13</f>
        <v>105</v>
      </c>
      <c r="C9">
        <f>C10+C13</f>
        <v>16.5</v>
      </c>
      <c r="D9" t="s">
        <v>193</v>
      </c>
      <c r="E9">
        <f>(E10*F10+E11*F11+E12*F12+E13*F13)/(C9)</f>
        <v>10</v>
      </c>
      <c r="G9">
        <f>ROUND(E9, 2)</f>
        <v>10</v>
      </c>
      <c r="H9">
        <v>8</v>
      </c>
      <c r="I9" s="14">
        <f>IF(G9&gt;=10,H9,0)</f>
        <v>8</v>
      </c>
      <c r="J9" s="14"/>
      <c r="K9">
        <f>'Read me'!C8</f>
        <v>35</v>
      </c>
      <c r="L9" s="14"/>
    </row>
    <row r="10" spans="1:12" x14ac:dyDescent="0.55000000000000004">
      <c r="A10" t="s">
        <v>302</v>
      </c>
      <c r="B10">
        <v>30</v>
      </c>
      <c r="C10">
        <v>11.5</v>
      </c>
      <c r="D10" t="s">
        <v>40</v>
      </c>
      <c r="E10">
        <v>10</v>
      </c>
      <c r="F10">
        <f>C10*2/5</f>
        <v>4.5999999999999996</v>
      </c>
    </row>
    <row r="11" spans="1:12" x14ac:dyDescent="0.55000000000000004">
      <c r="B11">
        <v>30</v>
      </c>
      <c r="D11" t="s">
        <v>41</v>
      </c>
      <c r="E11">
        <v>10</v>
      </c>
      <c r="F11">
        <f>C10*2/5</f>
        <v>4.5999999999999996</v>
      </c>
    </row>
    <row r="12" spans="1:12" x14ac:dyDescent="0.55000000000000004">
      <c r="B12">
        <v>15</v>
      </c>
      <c r="D12" t="s">
        <v>42</v>
      </c>
      <c r="E12">
        <v>10</v>
      </c>
      <c r="F12">
        <f>C10/5</f>
        <v>2.2999999999999998</v>
      </c>
    </row>
    <row r="13" spans="1:12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>
        <f>C13</f>
        <v>5</v>
      </c>
    </row>
    <row r="15" spans="1:12" x14ac:dyDescent="0.55000000000000004">
      <c r="A15" s="7" t="s">
        <v>201</v>
      </c>
      <c r="B15">
        <f>B16+B17</f>
        <v>60</v>
      </c>
      <c r="C15">
        <f>C16+C17</f>
        <v>10</v>
      </c>
      <c r="D15" t="s">
        <v>193</v>
      </c>
      <c r="E15">
        <f>(E16*F16+E17*F17)/(C15)</f>
        <v>10</v>
      </c>
      <c r="G15">
        <f>ROUND(E15,2)</f>
        <v>10</v>
      </c>
      <c r="H15">
        <v>4</v>
      </c>
      <c r="I15">
        <f>IF(G15&gt;=10,H15,0)</f>
        <v>4</v>
      </c>
      <c r="J15" s="14"/>
      <c r="K15">
        <f>'Read me'!C8</f>
        <v>35</v>
      </c>
      <c r="L15" s="14"/>
    </row>
    <row r="16" spans="1:12" x14ac:dyDescent="0.55000000000000004">
      <c r="A16" t="s">
        <v>44</v>
      </c>
      <c r="B16">
        <v>30</v>
      </c>
      <c r="C16">
        <v>5</v>
      </c>
      <c r="D16" t="s">
        <v>5</v>
      </c>
      <c r="E16">
        <v>10</v>
      </c>
      <c r="F16">
        <f>C16</f>
        <v>5</v>
      </c>
    </row>
    <row r="17" spans="1:12" x14ac:dyDescent="0.55000000000000004">
      <c r="A17" t="s">
        <v>60</v>
      </c>
      <c r="B17">
        <v>30</v>
      </c>
      <c r="C17">
        <v>5</v>
      </c>
      <c r="D17" t="s">
        <v>5</v>
      </c>
      <c r="E17">
        <v>10</v>
      </c>
      <c r="F17">
        <f>C17</f>
        <v>5</v>
      </c>
    </row>
    <row r="19" spans="1:12" x14ac:dyDescent="0.55000000000000004">
      <c r="A19" s="7" t="s">
        <v>305</v>
      </c>
      <c r="B19">
        <f>B20+B21</f>
        <v>60</v>
      </c>
      <c r="C19">
        <f>C20+C21</f>
        <v>10</v>
      </c>
      <c r="D19" t="s">
        <v>193</v>
      </c>
      <c r="E19">
        <f>(E20*F20+E21*F21)/(C19)</f>
        <v>10</v>
      </c>
      <c r="G19">
        <f>ROUND(E19,2)</f>
        <v>10</v>
      </c>
      <c r="H19">
        <v>5</v>
      </c>
      <c r="I19">
        <f>IF(G19&gt;=10,H19,0)</f>
        <v>5</v>
      </c>
      <c r="J19" s="14"/>
      <c r="K19">
        <f>'Read me'!C8</f>
        <v>35</v>
      </c>
      <c r="L19" s="14"/>
    </row>
    <row r="20" spans="1:12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>
        <f>C20</f>
        <v>5</v>
      </c>
    </row>
    <row r="21" spans="1:12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>
        <f>C21</f>
        <v>5</v>
      </c>
    </row>
    <row r="23" spans="1:12" x14ac:dyDescent="0.55000000000000004">
      <c r="A23" s="7" t="s">
        <v>306</v>
      </c>
      <c r="B23">
        <f>B24+B25+B26+B27</f>
        <v>90</v>
      </c>
      <c r="C23">
        <f>C24+C26+C25+C27</f>
        <v>15</v>
      </c>
      <c r="D23" t="s">
        <v>193</v>
      </c>
      <c r="E23">
        <f>(E24*F24+E25*F25+E26*F26+E27*F27)/(C23)</f>
        <v>10</v>
      </c>
      <c r="G23">
        <f>ROUND(E23,2)</f>
        <v>10</v>
      </c>
      <c r="H23">
        <v>6</v>
      </c>
      <c r="I23">
        <f>IF(G23&gt;=10,H23,0)</f>
        <v>6</v>
      </c>
      <c r="J23" s="14"/>
      <c r="K23">
        <f>'Read me'!C8</f>
        <v>35</v>
      </c>
      <c r="L23" s="14"/>
    </row>
    <row r="24" spans="1:12" x14ac:dyDescent="0.55000000000000004">
      <c r="A24" t="str">
        <f>IF('Read me'!B4="CGSI","Math",IF('Read me'!B4="CIR","Algo C expert",IF('Read me'!B4="BIOST","Physio humaine",IF('Read me'!B4="CENT","Les fondamentaux de la relation client 4.0",IF('Read me'!B4="EST","Environnement et sociéré",IF('Read me'!B4="BIAST","Biocell",IF('Read me'!B4="MECA","Mathématiques - compléments","autre")))))))</f>
        <v>Math</v>
      </c>
      <c r="B24">
        <f>IF('Read me'!B4="CGSI",60,IF('Read me'!B4="CIR",45,IF('Read me'!B4="BIOST",30,IF('Read me'!B4="CENT",15,IF('Read me'!B4="EST",30,IF('Read me'!B4="BIAST",30,IF('Read me'!B4="MECA",15,0)))))))</f>
        <v>60</v>
      </c>
      <c r="C24">
        <f>IF('Read me'!B4="CGSI",10,IF('Read me'!B4="CIR",7.5,IF('Read me'!B4="BIOST",5,IF('Read me'!B4="CENT",2.5,IF('Read me'!B4="EST",5,IF('Read me'!B4="BIAST",5,IF('Read me'!B4="MECA",2.5,0)))))))</f>
        <v>10</v>
      </c>
      <c r="D24" t="s">
        <v>5</v>
      </c>
      <c r="E24">
        <v>10</v>
      </c>
      <c r="F24">
        <f>C24</f>
        <v>10</v>
      </c>
    </row>
    <row r="25" spans="1:12" x14ac:dyDescent="0.55000000000000004">
      <c r="A25" t="str">
        <f>IF('Read me'!B4="CGSI","Physique",IF('Read me'!B4="CIR","Web frontend",IF('Read me'!B4="BIOST","Anatomie",IF('Read me'!B4="CENT","Histoire de l'économie et évolution des modèles économiques",IF('Read me'!B4="EST","Chimie",IF('Read me'!B4="BIAST","Biochimie",IF('Read me'!B4="MECA","Sciences de l'ingénieur - compléments","autre")))))))</f>
        <v>Physique</v>
      </c>
      <c r="B25">
        <f>IF('Read me'!B4="CGSI",15,IF('Read me'!B4="CIR",30,IF('Read me'!B4="BIOST",30,IF('Read me'!B4="CENT",15,IF('Read me'!B4="EST",30,IF('Read me'!B4="BIAST",15,IF('Read me'!B4="MECA",15,0)))))))</f>
        <v>15</v>
      </c>
      <c r="C25">
        <f>IF('Read me'!B4="CGSI",2.5,IF('Read me'!B4="CIR",5,IF('Read me'!B4="BIOST",5,IF('Read me'!B4="CENT",2.5,IF('Read me'!B4="EST",5,IF('Read me'!B4="BIAST",2.5,IF('Read me'!B4="MECA",2.5,0)))))))</f>
        <v>2.5</v>
      </c>
      <c r="D25" t="s">
        <v>5</v>
      </c>
      <c r="E25">
        <v>10</v>
      </c>
      <c r="F25">
        <f>C25</f>
        <v>2.5</v>
      </c>
    </row>
    <row r="26" spans="1:12" x14ac:dyDescent="0.55000000000000004">
      <c r="A26" t="str">
        <f>IF('Read me'!B4="CGSI","Sciences de l'ingénieur",IF('Read me'!B4="CIR","Réseaux",IF('Read me'!B4="BIOST","Chimie",IF('Read me'!B4="CENT","Theory of orga",IF('Read me'!B4="EST","Technologie pour l'environnement",IF('Read me'!B4="BIAST","Chimie",IF('Read me'!B4="MECA","Mécanique","autre")))))))</f>
        <v>Sciences de l'ingénieur</v>
      </c>
      <c r="B26">
        <f>IF('Read me'!B4="CGSI",15,IF('Read me'!B4="CIR",15,IF('Read me'!B4="BIOST",30,IF('Read me'!B4="CENT",30,IF('Read me'!B4="EST",30,IF('Read me'!B4="BIAST",30,IF('Read me'!B4="MECA",60,0)))))))</f>
        <v>15</v>
      </c>
      <c r="C26">
        <f>IF('Read me'!B4="CGSI",2.5,IF('Read me'!B4="CIR",2.5,IF('Read me'!B4="BIOST",5,IF('Read me'!B4="CENT",5,IF('Read me'!B4="EST",5,IF('Read me'!B4="BIAST",5,IF('Read me'!B4="MECA",10,0)))))))</f>
        <v>2.5</v>
      </c>
      <c r="D26" t="s">
        <v>5</v>
      </c>
      <c r="E26">
        <v>10</v>
      </c>
      <c r="F26">
        <f>C26</f>
        <v>2.5</v>
      </c>
    </row>
    <row r="27" spans="1:12" x14ac:dyDescent="0.55000000000000004">
      <c r="A27" t="str">
        <f>IF('Read me'!B4="CENT","Introduction to entrepreneurship",IF('Read me'!B4="BIAST","Physio veg"," "))</f>
        <v xml:space="preserve"> </v>
      </c>
      <c r="B27">
        <f>IF('Read me'!B4="CENT",30,IF('Read me'!B4="BIAST",15,0))</f>
        <v>0</v>
      </c>
      <c r="C27">
        <f>IF('Read me'!B4="CENT",5,IF('Read me'!B4="BIAST",2.5,0))</f>
        <v>0</v>
      </c>
      <c r="D27" t="str">
        <f>IF('Read me'!B4="CENT","note",IF('Read me'!B4="BIAST","note"," "))</f>
        <v xml:space="preserve"> </v>
      </c>
      <c r="E27">
        <v>10</v>
      </c>
      <c r="F27">
        <f>C27</f>
        <v>0</v>
      </c>
    </row>
    <row r="29" spans="1:12" x14ac:dyDescent="0.55000000000000004">
      <c r="A29" s="7" t="s">
        <v>219</v>
      </c>
      <c r="B29">
        <f>B23+B19+B15+B9+B4</f>
        <v>405</v>
      </c>
      <c r="C29">
        <f>C15+C9+C4+C19+C23</f>
        <v>66.5</v>
      </c>
    </row>
    <row r="30" spans="1:12" x14ac:dyDescent="0.55000000000000004">
      <c r="A30" s="7" t="s">
        <v>220</v>
      </c>
      <c r="B30" s="13">
        <f>(G4*C4+G9*C9+G15*C15+G19*C19+G23*C23)/C29</f>
        <v>10</v>
      </c>
    </row>
    <row r="31" spans="1:12" x14ac:dyDescent="0.55000000000000004">
      <c r="A31" s="7" t="s">
        <v>221</v>
      </c>
      <c r="B31" s="3">
        <f>ROUND(B30,2)</f>
        <v>10</v>
      </c>
    </row>
    <row r="32" spans="1:12" x14ac:dyDescent="0.55000000000000004">
      <c r="A32" s="7" t="s">
        <v>278</v>
      </c>
      <c r="B32">
        <f>H4+H9+H15+H19+H23</f>
        <v>30</v>
      </c>
    </row>
    <row r="33" spans="1:2" x14ac:dyDescent="0.55000000000000004">
      <c r="A33" s="7" t="s">
        <v>279</v>
      </c>
      <c r="B33">
        <f>I4+I9+I15+I19+I23</f>
        <v>30</v>
      </c>
    </row>
    <row r="34" spans="1:2" x14ac:dyDescent="0.55000000000000004">
      <c r="A34" s="7" t="s">
        <v>328</v>
      </c>
      <c r="B34">
        <f>'Read me'!C8</f>
        <v>35</v>
      </c>
    </row>
    <row r="35" spans="1:2" x14ac:dyDescent="0.55000000000000004">
      <c r="A35" s="7" t="s">
        <v>329</v>
      </c>
      <c r="B35" s="14"/>
    </row>
    <row r="36" spans="1:2" x14ac:dyDescent="0.55000000000000004">
      <c r="A36" s="7" t="s">
        <v>324</v>
      </c>
      <c r="B36" s="14">
        <v>2</v>
      </c>
    </row>
  </sheetData>
  <conditionalFormatting sqref="B31">
    <cfRule type="expression" dxfId="229" priority="19">
      <formula>B31&gt;11</formula>
    </cfRule>
    <cfRule type="expression" dxfId="228" priority="20">
      <formula>B31&gt;=10</formula>
    </cfRule>
    <cfRule type="expression" dxfId="227" priority="21">
      <formula>B31&lt;10</formula>
    </cfRule>
  </conditionalFormatting>
  <conditionalFormatting sqref="B33">
    <cfRule type="expression" dxfId="226" priority="11">
      <formula>B33=B32</formula>
    </cfRule>
    <cfRule type="expression" dxfId="225" priority="12">
      <formula>B33&lt;B32</formula>
    </cfRule>
  </conditionalFormatting>
  <conditionalFormatting sqref="G4">
    <cfRule type="expression" dxfId="224" priority="28">
      <formula>G4&gt;11</formula>
    </cfRule>
    <cfRule type="expression" dxfId="223" priority="29">
      <formula>G4&gt;=10</formula>
    </cfRule>
    <cfRule type="expression" dxfId="222" priority="30">
      <formula>G4&lt;10</formula>
    </cfRule>
  </conditionalFormatting>
  <conditionalFormatting sqref="G9">
    <cfRule type="expression" dxfId="221" priority="25">
      <formula>G9&gt;11</formula>
    </cfRule>
    <cfRule type="expression" dxfId="220" priority="26">
      <formula>G9&gt;=10</formula>
    </cfRule>
    <cfRule type="expression" dxfId="219" priority="27">
      <formula>G9&lt;10</formula>
    </cfRule>
  </conditionalFormatting>
  <conditionalFormatting sqref="G15">
    <cfRule type="expression" dxfId="218" priority="22">
      <formula>G15&gt;11</formula>
    </cfRule>
    <cfRule type="expression" dxfId="217" priority="23">
      <formula>G15&gt;=10</formula>
    </cfRule>
    <cfRule type="expression" dxfId="216" priority="24">
      <formula>G15&lt;10</formula>
    </cfRule>
  </conditionalFormatting>
  <conditionalFormatting sqref="G19">
    <cfRule type="expression" dxfId="215" priority="4">
      <formula>G19&gt;11</formula>
    </cfRule>
    <cfRule type="expression" dxfId="214" priority="5">
      <formula>G19&gt;=10</formula>
    </cfRule>
    <cfRule type="expression" dxfId="213" priority="6">
      <formula>G19&lt;10</formula>
    </cfRule>
  </conditionalFormatting>
  <conditionalFormatting sqref="G23">
    <cfRule type="expression" dxfId="212" priority="1">
      <formula>G23&gt;11</formula>
    </cfRule>
    <cfRule type="expression" dxfId="211" priority="2">
      <formula>G23&gt;=10</formula>
    </cfRule>
    <cfRule type="expression" dxfId="210" priority="3">
      <formula>G23&lt;10</formula>
    </cfRule>
  </conditionalFormatting>
  <conditionalFormatting sqref="I4">
    <cfRule type="expression" dxfId="209" priority="17">
      <formula>I4=H4</formula>
    </cfRule>
    <cfRule type="expression" dxfId="208" priority="18">
      <formula>I4&lt;H4</formula>
    </cfRule>
  </conditionalFormatting>
  <conditionalFormatting sqref="I9">
    <cfRule type="expression" dxfId="207" priority="15">
      <formula>I9=H9</formula>
    </cfRule>
    <cfRule type="expression" dxfId="206" priority="16">
      <formula>I9&lt;H9</formula>
    </cfRule>
  </conditionalFormatting>
  <conditionalFormatting sqref="I15">
    <cfRule type="expression" dxfId="205" priority="13">
      <formula>I15=H15</formula>
    </cfRule>
    <cfRule type="expression" dxfId="204" priority="14">
      <formula>I15&lt;H15</formula>
    </cfRule>
  </conditionalFormatting>
  <conditionalFormatting sqref="I19">
    <cfRule type="expression" dxfId="203" priority="9">
      <formula>I19=H19</formula>
    </cfRule>
    <cfRule type="expression" dxfId="202" priority="10">
      <formula>I19&lt;H19</formula>
    </cfRule>
  </conditionalFormatting>
  <conditionalFormatting sqref="I23">
    <cfRule type="expression" dxfId="201" priority="7">
      <formula>I23=H23</formula>
    </cfRule>
    <cfRule type="expression" dxfId="200" priority="8">
      <formula>I23&lt;H23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L36"/>
  <sheetViews>
    <sheetView topLeftCell="A22" workbookViewId="0">
      <selection activeCell="B35" sqref="B35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89453125" bestFit="1" customWidth="1"/>
    <col min="4" max="4" width="18.578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  <col min="10" max="10" width="14.15625" bestFit="1" customWidth="1"/>
    <col min="11" max="11" width="12.26171875" customWidth="1"/>
  </cols>
  <sheetData>
    <row r="1" spans="1:12" ht="26.4" x14ac:dyDescent="1">
      <c r="A1" s="6" t="s">
        <v>286</v>
      </c>
      <c r="B1" s="7"/>
    </row>
    <row r="2" spans="1:12" ht="37.200000000000003" customHeight="1" x14ac:dyDescent="0.75">
      <c r="A2" s="8" t="s">
        <v>189</v>
      </c>
      <c r="B2" s="9" t="s">
        <v>293</v>
      </c>
      <c r="C2" s="9" t="s">
        <v>294</v>
      </c>
      <c r="D2" s="8"/>
      <c r="E2" s="8" t="s">
        <v>191</v>
      </c>
      <c r="F2" s="9" t="s">
        <v>295</v>
      </c>
      <c r="G2" s="9" t="s">
        <v>222</v>
      </c>
      <c r="H2" s="9" t="s">
        <v>280</v>
      </c>
      <c r="I2" s="9" t="s">
        <v>284</v>
      </c>
      <c r="J2" s="9" t="s">
        <v>326</v>
      </c>
      <c r="K2" s="9" t="s">
        <v>327</v>
      </c>
      <c r="L2" s="9" t="s">
        <v>325</v>
      </c>
    </row>
    <row r="4" spans="1:12" x14ac:dyDescent="0.55000000000000004">
      <c r="A4" s="7" t="s">
        <v>300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  <c r="J4" s="14"/>
      <c r="K4">
        <f>'Read me'!D8</f>
        <v>35</v>
      </c>
      <c r="L4" s="14"/>
    </row>
    <row r="5" spans="1:12" x14ac:dyDescent="0.55000000000000004">
      <c r="B5">
        <v>30</v>
      </c>
      <c r="D5" t="s">
        <v>36</v>
      </c>
      <c r="E5">
        <v>10</v>
      </c>
      <c r="F5">
        <f>C4/3</f>
        <v>5</v>
      </c>
    </row>
    <row r="6" spans="1:12" x14ac:dyDescent="0.55000000000000004">
      <c r="B6">
        <v>30</v>
      </c>
      <c r="D6" t="s">
        <v>38</v>
      </c>
      <c r="E6">
        <v>10</v>
      </c>
      <c r="F6">
        <f>C4/3</f>
        <v>5</v>
      </c>
    </row>
    <row r="7" spans="1:12" x14ac:dyDescent="0.55000000000000004">
      <c r="B7">
        <v>30</v>
      </c>
      <c r="D7" t="s">
        <v>39</v>
      </c>
      <c r="E7">
        <v>10</v>
      </c>
      <c r="F7">
        <f>C4/3</f>
        <v>5</v>
      </c>
    </row>
    <row r="9" spans="1:12" x14ac:dyDescent="0.55000000000000004">
      <c r="A9" s="7" t="s">
        <v>301</v>
      </c>
      <c r="B9">
        <f>B10+B11+B12+B13</f>
        <v>105</v>
      </c>
      <c r="C9">
        <f>C10+C13</f>
        <v>16.5</v>
      </c>
      <c r="D9" t="s">
        <v>193</v>
      </c>
      <c r="E9">
        <f>(E10*F10+E11*F11+E12*F12+E13*F13)/(C9)</f>
        <v>10</v>
      </c>
      <c r="G9">
        <f>ROUND(E9, 2)</f>
        <v>10</v>
      </c>
      <c r="H9">
        <v>8</v>
      </c>
      <c r="I9" s="14">
        <f>IF(G9&gt;=10,H9,0)</f>
        <v>8</v>
      </c>
      <c r="J9" s="14"/>
      <c r="K9">
        <f>'Read me'!D8</f>
        <v>35</v>
      </c>
      <c r="L9" s="14"/>
    </row>
    <row r="10" spans="1:12" x14ac:dyDescent="0.55000000000000004">
      <c r="A10" t="s">
        <v>302</v>
      </c>
      <c r="B10">
        <v>30</v>
      </c>
      <c r="C10">
        <v>11.5</v>
      </c>
      <c r="D10" t="s">
        <v>40</v>
      </c>
      <c r="E10">
        <v>10</v>
      </c>
      <c r="F10">
        <f>C10*2/5</f>
        <v>4.5999999999999996</v>
      </c>
    </row>
    <row r="11" spans="1:12" x14ac:dyDescent="0.55000000000000004">
      <c r="B11">
        <v>30</v>
      </c>
      <c r="D11" t="s">
        <v>41</v>
      </c>
      <c r="E11">
        <v>10</v>
      </c>
      <c r="F11">
        <f>C10*2/5</f>
        <v>4.5999999999999996</v>
      </c>
    </row>
    <row r="12" spans="1:12" x14ac:dyDescent="0.55000000000000004">
      <c r="B12">
        <v>15</v>
      </c>
      <c r="D12" t="s">
        <v>42</v>
      </c>
      <c r="E12">
        <v>10</v>
      </c>
      <c r="F12">
        <f>C10/5</f>
        <v>2.2999999999999998</v>
      </c>
    </row>
    <row r="13" spans="1:12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>
        <f>C13</f>
        <v>5</v>
      </c>
    </row>
    <row r="15" spans="1:12" x14ac:dyDescent="0.55000000000000004">
      <c r="A15" s="7" t="s">
        <v>201</v>
      </c>
      <c r="B15">
        <f>B16+B17</f>
        <v>45</v>
      </c>
      <c r="C15">
        <v>7.5</v>
      </c>
      <c r="D15" t="s">
        <v>193</v>
      </c>
      <c r="E15">
        <f>(E16*F16+E17*F17)/(C15)</f>
        <v>10</v>
      </c>
      <c r="G15">
        <f>ROUND(E15,2)</f>
        <v>10</v>
      </c>
      <c r="H15">
        <v>4</v>
      </c>
      <c r="I15">
        <f>IF(G15&gt;=10,H15,0)</f>
        <v>4</v>
      </c>
      <c r="J15" s="14"/>
      <c r="K15">
        <f>'Read me'!D8</f>
        <v>35</v>
      </c>
      <c r="L15" s="14"/>
    </row>
    <row r="16" spans="1:12" x14ac:dyDescent="0.55000000000000004">
      <c r="A16" t="str">
        <f>IF('Read me'!B4="CIR","Algo C++","Python")</f>
        <v>Python</v>
      </c>
      <c r="B16">
        <v>30</v>
      </c>
      <c r="C16">
        <v>5</v>
      </c>
      <c r="D16" t="s">
        <v>5</v>
      </c>
      <c r="E16">
        <v>10</v>
      </c>
      <c r="F16">
        <f>C16</f>
        <v>5</v>
      </c>
    </row>
    <row r="17" spans="1:12" x14ac:dyDescent="0.55000000000000004">
      <c r="A17" t="s">
        <v>98</v>
      </c>
      <c r="B17">
        <v>15</v>
      </c>
      <c r="C17">
        <v>2.5</v>
      </c>
      <c r="D17" t="s">
        <v>5</v>
      </c>
      <c r="E17">
        <v>10</v>
      </c>
      <c r="F17">
        <f>C17</f>
        <v>2.5</v>
      </c>
    </row>
    <row r="19" spans="1:12" x14ac:dyDescent="0.55000000000000004">
      <c r="A19" s="7" t="s">
        <v>305</v>
      </c>
      <c r="B19">
        <f>B20+B21</f>
        <v>60</v>
      </c>
      <c r="C19">
        <f>C20+C21</f>
        <v>10</v>
      </c>
      <c r="D19" t="s">
        <v>193</v>
      </c>
      <c r="E19">
        <f>(E20*F20+E21*F21)/(C19)</f>
        <v>10</v>
      </c>
      <c r="G19">
        <f>ROUND(E19,2)</f>
        <v>10</v>
      </c>
      <c r="H19">
        <v>5</v>
      </c>
      <c r="I19">
        <f>IF(G19&gt;=10,H19,0)</f>
        <v>5</v>
      </c>
      <c r="J19" s="14"/>
      <c r="K19">
        <f>'Read me'!D8</f>
        <v>35</v>
      </c>
      <c r="L19" s="14"/>
    </row>
    <row r="20" spans="1:12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>
        <f>C20</f>
        <v>5</v>
      </c>
    </row>
    <row r="21" spans="1:12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>
        <f>C21</f>
        <v>5</v>
      </c>
    </row>
    <row r="23" spans="1:12" x14ac:dyDescent="0.55000000000000004">
      <c r="A23" s="7" t="s">
        <v>306</v>
      </c>
      <c r="B23">
        <f>B24+B25+B26+B27</f>
        <v>90</v>
      </c>
      <c r="C23">
        <f>C24+C26+C25+C27</f>
        <v>15</v>
      </c>
      <c r="D23" t="s">
        <v>193</v>
      </c>
      <c r="E23">
        <f>(E24*F24+E25*F25+E26*F26+E27*F27)/(C23)</f>
        <v>10</v>
      </c>
      <c r="G23">
        <f>ROUND(E23,2)</f>
        <v>10</v>
      </c>
      <c r="H23">
        <v>6</v>
      </c>
      <c r="I23">
        <f>IF(G23&gt;=10,H23,0)</f>
        <v>6</v>
      </c>
      <c r="J23" s="14"/>
      <c r="K23">
        <f>'Read me'!D8</f>
        <v>35</v>
      </c>
      <c r="L23" s="14"/>
    </row>
    <row r="24" spans="1:12" x14ac:dyDescent="0.55000000000000004">
      <c r="A24" t="str">
        <f>IF('Read me'!B4="CGSI","Math",IF('Read me'!B4="CIR","Algo avancé",IF('Read me'!B4="BIOST","Biochimie métabolique",IF('Read me'!B4="CENT"," ",IF('Read me'!B4="EST","Numérique et développement durable",IF('Read me'!B4="BIAST","Géologie",IF('Read me'!B4="MECA","Sciences de l'ingénieur compléments","autre")))))))</f>
        <v>Math</v>
      </c>
      <c r="B24">
        <f>IF('Read me'!B4="CGSI",30,IF('Read me'!B4="CIR",15,IF('Read me'!B4="BIOST",30,IF('Read me'!B4="CENT",0,IF('Read me'!B4="EST",15,IF('Read me'!B4="BIAST",30,IF('Read me'!B4="MECA",30,0)))))))</f>
        <v>30</v>
      </c>
      <c r="C24">
        <f>IF('Read me'!B4="CGSI",5,IF('Read me'!B4="CIR",2.5,IF('Read me'!B4="BIOST",5,IF('Read me'!B4="CENT",0,IF('Read me'!B4="EST",2.5,IF('Read me'!B4="BIAST",5,IF('Read me'!B4="MECA",5,0)))))))</f>
        <v>5</v>
      </c>
      <c r="D24" t="s">
        <v>5</v>
      </c>
      <c r="E24">
        <v>10</v>
      </c>
      <c r="F24">
        <f>C24</f>
        <v>5</v>
      </c>
    </row>
    <row r="25" spans="1:12" x14ac:dyDescent="0.55000000000000004">
      <c r="A25" t="str">
        <f>IF('Read me'!B4="CGSI","Physique",IF('Read me'!B4="CIR","Serveur Web",IF('Read me'!B4="BIOST","Génétique humaine",IF('Read me'!B4="CENT"," ",IF('Read me'!B4="EST","Ressources naturelles",IF('Read me'!B4="BIAST","Pédo",IF('Read me'!B4="MECA","Mécanique","autre")))))))</f>
        <v>Physique</v>
      </c>
      <c r="B25">
        <f>IF('Read me'!B4="CGSI",30,IF('Read me'!B4="CIR",15,IF('Read me'!B4="BIOST",30,IF('Read me'!B4="CENT",0,IF('Read me'!B4="EST",30,IF('Read me'!B4="BIAST",30,IF('Read me'!B4="MECA",60,0)))))))</f>
        <v>30</v>
      </c>
      <c r="C25">
        <f>IF('Read me'!B4="CGSI",5,IF('Read me'!B4="CIR",2.5,IF('Read me'!B4="BIOST",5,IF('Read me'!B4="CENT",0,IF('Read me'!B4="EST",5,IF('Read me'!B4="BIAST",5,IF('Read me'!B4="MECA",10,0)))))))</f>
        <v>5</v>
      </c>
      <c r="D25" t="s">
        <v>5</v>
      </c>
      <c r="E25">
        <v>10</v>
      </c>
      <c r="F25">
        <f>C25</f>
        <v>5</v>
      </c>
    </row>
    <row r="26" spans="1:12" x14ac:dyDescent="0.55000000000000004">
      <c r="A26" t="str">
        <f>IF('Read me'!B4="CGSI","Sciences de l'ingénieur",IF('Read me'!B4="CIR","Web backend",IF('Read me'!B4="BIOST","Physio humaine",IF('Read me'!B4="CENT"," ",IF('Read me'!B4="EST","SIG",IF('Read me'!B4="BIAST","Agro technique",IF('Read me'!B4="MECA"," ","autre")))))))</f>
        <v>Sciences de l'ingénieur</v>
      </c>
      <c r="B26">
        <f>IF('Read me'!B4="CGSI",30,IF('Read me'!B4="CIR",30,IF('Read me'!B4="BIOST",30,IF('Read me'!B4="CENT",0,IF('Read me'!B4="EST",30,IF('Read me'!B4="BIAST",30,IF('Read me'!B4="MECA",0,0)))))))</f>
        <v>30</v>
      </c>
      <c r="C26">
        <f>IF('Read me'!B4="CGSI",5,IF('Read me'!B4="CIR",5,IF('Read me'!B4="BIOST",5,IF('Read me'!B4="CENT",0,IF('Read me'!B4="EST",5,IF('Read me'!B4="BIAST",5,IF('Read me'!B4="MECA",0,0)))))))</f>
        <v>5</v>
      </c>
      <c r="D26" t="str">
        <f>IF('Read me'!B4="MECA"," ","note")</f>
        <v>note</v>
      </c>
      <c r="E26">
        <v>10</v>
      </c>
      <c r="F26">
        <f>C26</f>
        <v>5</v>
      </c>
    </row>
    <row r="27" spans="1:12" x14ac:dyDescent="0.55000000000000004">
      <c r="A27" t="str">
        <f>IF('Read me'!B4="CIR","BDD",IF('Read me'!B4="EST","Biocellulaire"," "))</f>
        <v xml:space="preserve"> </v>
      </c>
      <c r="B27">
        <f>IF('Read me'!B4="CIR",30,IF('Read me'!B4="EST",15,0))</f>
        <v>0</v>
      </c>
      <c r="C27">
        <f>IF('Read me'!B4="CIR",5,IF('Read me'!B4="EST",2.5,0))</f>
        <v>0</v>
      </c>
      <c r="D27" t="str">
        <f>IF('Read me'!B4="CIR","note",IF('Read me'!B4="EST","note"," "))</f>
        <v xml:space="preserve"> </v>
      </c>
      <c r="E27">
        <v>10</v>
      </c>
      <c r="F27">
        <f>C27</f>
        <v>0</v>
      </c>
    </row>
    <row r="29" spans="1:12" x14ac:dyDescent="0.55000000000000004">
      <c r="A29" s="7" t="s">
        <v>219</v>
      </c>
      <c r="B29">
        <f>B23+B19+B15+B9+B4</f>
        <v>390</v>
      </c>
      <c r="C29">
        <f>C15+C9+C4+C19+C23</f>
        <v>64</v>
      </c>
    </row>
    <row r="30" spans="1:12" x14ac:dyDescent="0.55000000000000004">
      <c r="A30" s="7" t="s">
        <v>220</v>
      </c>
      <c r="B30" s="13">
        <f>(G4*C4+G9*C9+G15*C15+G19*C19+G23*C23)/C29</f>
        <v>10</v>
      </c>
    </row>
    <row r="31" spans="1:12" x14ac:dyDescent="0.55000000000000004">
      <c r="A31" s="7" t="s">
        <v>221</v>
      </c>
      <c r="B31" s="3">
        <f>ROUND(B30,2)</f>
        <v>10</v>
      </c>
    </row>
    <row r="32" spans="1:12" x14ac:dyDescent="0.55000000000000004">
      <c r="A32" s="7" t="s">
        <v>278</v>
      </c>
      <c r="B32">
        <f>H4+H9+H15+H19+H23</f>
        <v>30</v>
      </c>
    </row>
    <row r="33" spans="1:2" x14ac:dyDescent="0.55000000000000004">
      <c r="A33" s="7" t="s">
        <v>279</v>
      </c>
      <c r="B33">
        <f>I4+I9+I15+I19+I23</f>
        <v>30</v>
      </c>
    </row>
    <row r="34" spans="1:2" x14ac:dyDescent="0.55000000000000004">
      <c r="A34" s="7" t="s">
        <v>328</v>
      </c>
      <c r="B34">
        <f>'Read me'!D8</f>
        <v>35</v>
      </c>
    </row>
    <row r="35" spans="1:2" x14ac:dyDescent="0.55000000000000004">
      <c r="A35" s="7" t="s">
        <v>329</v>
      </c>
      <c r="B35" s="14"/>
    </row>
    <row r="36" spans="1:2" x14ac:dyDescent="0.55000000000000004">
      <c r="A36" s="7" t="s">
        <v>324</v>
      </c>
      <c r="B36" s="14">
        <v>2</v>
      </c>
    </row>
  </sheetData>
  <conditionalFormatting sqref="B31">
    <cfRule type="expression" dxfId="199" priority="19">
      <formula>B31&gt;11</formula>
    </cfRule>
    <cfRule type="expression" dxfId="198" priority="20">
      <formula>B31&gt;=10</formula>
    </cfRule>
    <cfRule type="expression" dxfId="197" priority="21">
      <formula>B31&lt;10</formula>
    </cfRule>
  </conditionalFormatting>
  <conditionalFormatting sqref="B33">
    <cfRule type="expression" dxfId="196" priority="11">
      <formula>B33=B32</formula>
    </cfRule>
    <cfRule type="expression" dxfId="195" priority="12">
      <formula>B33&lt;B32</formula>
    </cfRule>
  </conditionalFormatting>
  <conditionalFormatting sqref="G4">
    <cfRule type="expression" dxfId="194" priority="28">
      <formula>G4&gt;11</formula>
    </cfRule>
    <cfRule type="expression" dxfId="193" priority="29">
      <formula>G4&gt;=10</formula>
    </cfRule>
    <cfRule type="expression" dxfId="192" priority="30">
      <formula>G4&lt;10</formula>
    </cfRule>
  </conditionalFormatting>
  <conditionalFormatting sqref="G9">
    <cfRule type="expression" dxfId="191" priority="25">
      <formula>G9&gt;11</formula>
    </cfRule>
    <cfRule type="expression" dxfId="190" priority="26">
      <formula>G9&gt;=10</formula>
    </cfRule>
    <cfRule type="expression" dxfId="189" priority="27">
      <formula>G9&lt;10</formula>
    </cfRule>
  </conditionalFormatting>
  <conditionalFormatting sqref="G15">
    <cfRule type="expression" dxfId="188" priority="22">
      <formula>G15&gt;11</formula>
    </cfRule>
    <cfRule type="expression" dxfId="187" priority="23">
      <formula>G15&gt;=10</formula>
    </cfRule>
    <cfRule type="expression" dxfId="186" priority="24">
      <formula>G15&lt;10</formula>
    </cfRule>
  </conditionalFormatting>
  <conditionalFormatting sqref="G19">
    <cfRule type="expression" dxfId="185" priority="4">
      <formula>G19&gt;11</formula>
    </cfRule>
    <cfRule type="expression" dxfId="184" priority="5">
      <formula>G19&gt;=10</formula>
    </cfRule>
    <cfRule type="expression" dxfId="183" priority="6">
      <formula>G19&lt;10</formula>
    </cfRule>
  </conditionalFormatting>
  <conditionalFormatting sqref="G23">
    <cfRule type="expression" dxfId="182" priority="1">
      <formula>G23&gt;11</formula>
    </cfRule>
    <cfRule type="expression" dxfId="181" priority="2">
      <formula>G23&gt;=10</formula>
    </cfRule>
    <cfRule type="expression" dxfId="180" priority="3">
      <formula>G23&lt;10</formula>
    </cfRule>
  </conditionalFormatting>
  <conditionalFormatting sqref="I4">
    <cfRule type="expression" dxfId="179" priority="17">
      <formula>I4=H4</formula>
    </cfRule>
    <cfRule type="expression" dxfId="178" priority="18">
      <formula>I4&lt;H4</formula>
    </cfRule>
  </conditionalFormatting>
  <conditionalFormatting sqref="I9">
    <cfRule type="expression" dxfId="177" priority="15">
      <formula>I9=H9</formula>
    </cfRule>
    <cfRule type="expression" dxfId="176" priority="16">
      <formula>I9&lt;H9</formula>
    </cfRule>
  </conditionalFormatting>
  <conditionalFormatting sqref="I15">
    <cfRule type="expression" dxfId="175" priority="13">
      <formula>I15=H15</formula>
    </cfRule>
    <cfRule type="expression" dxfId="174" priority="14">
      <formula>I15&lt;H15</formula>
    </cfRule>
  </conditionalFormatting>
  <conditionalFormatting sqref="I19">
    <cfRule type="expression" dxfId="173" priority="9">
      <formula>I19=H19</formula>
    </cfRule>
    <cfRule type="expression" dxfId="172" priority="10">
      <formula>I19&lt;H19</formula>
    </cfRule>
  </conditionalFormatting>
  <conditionalFormatting sqref="I23">
    <cfRule type="expression" dxfId="171" priority="7">
      <formula>I23=H23</formula>
    </cfRule>
    <cfRule type="expression" dxfId="170" priority="8">
      <formula>I23&lt;H23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Grossmann--Le Mauguen, Arthur</cp:lastModifiedBy>
  <dcterms:created xsi:type="dcterms:W3CDTF">2025-02-24T14:52:18Z</dcterms:created>
  <dcterms:modified xsi:type="dcterms:W3CDTF">2025-05-04T11:37:02Z</dcterms:modified>
</cp:coreProperties>
</file>