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ramework_Arthur\Downloads\Project suite\Bulletins\"/>
    </mc:Choice>
  </mc:AlternateContent>
  <xr:revisionPtr revIDLastSave="0" documentId="13_ncr:1_{42EFB5D9-5658-41C4-ADB8-6C19147BB0F9}" xr6:coauthVersionLast="47" xr6:coauthVersionMax="47" xr10:uidLastSave="{00000000-0000-0000-0000-000000000000}"/>
  <bookViews>
    <workbookView xWindow="-96" yWindow="-96" windowWidth="17472" windowHeight="10992" tabRatio="851" xr2:uid="{F3516D6A-EC28-40DF-9BC6-39873143E270}"/>
  </bookViews>
  <sheets>
    <sheet name="Read me" sheetId="21" r:id="rId1"/>
    <sheet name="Menus déroulants" sheetId="22" state="hidden" r:id="rId2"/>
    <sheet name="Notes S1" sheetId="1" r:id="rId3"/>
    <sheet name="Bulletin S1" sheetId="2" r:id="rId4"/>
    <sheet name="Notes S2" sheetId="3" r:id="rId5"/>
    <sheet name="Bulletin S2" sheetId="4" r:id="rId6"/>
    <sheet name="Notes S3" sheetId="5" r:id="rId7"/>
    <sheet name="Bulletin S3" sheetId="6" r:id="rId8"/>
    <sheet name="Notes S4" sheetId="7" r:id="rId9"/>
    <sheet name="Bulletin S4" sheetId="8" r:id="rId10"/>
    <sheet name="Notes S5" sheetId="9" r:id="rId11"/>
    <sheet name="Bulletin S5" sheetId="10" r:id="rId12"/>
    <sheet name="Notes S6" sheetId="11" r:id="rId13"/>
    <sheet name="Bulletin S6" sheetId="12" r:id="rId14"/>
    <sheet name="Notes S7" sheetId="13" r:id="rId15"/>
    <sheet name="Bulletin S7" sheetId="14" r:id="rId16"/>
    <sheet name="Notes S8" sheetId="15" r:id="rId17"/>
    <sheet name="Bulletin S8" sheetId="16" r:id="rId18"/>
    <sheet name="Notes S9" sheetId="17" r:id="rId19"/>
    <sheet name="Bulletin S9" sheetId="18" r:id="rId20"/>
    <sheet name="Notes S10" sheetId="20" r:id="rId21"/>
    <sheet name="Bulletin S10" sheetId="19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4" l="1"/>
  <c r="A11" i="12"/>
  <c r="B15" i="21"/>
  <c r="A9" i="12"/>
  <c r="A12" i="12"/>
  <c r="E10" i="10"/>
  <c r="B37" i="10"/>
  <c r="E14" i="12"/>
  <c r="I4" i="14"/>
  <c r="B37" i="12"/>
  <c r="B35" i="14"/>
  <c r="I14" i="14"/>
  <c r="I4" i="16"/>
  <c r="I15" i="16"/>
  <c r="B21" i="16"/>
  <c r="B34" i="18"/>
  <c r="I21" i="18"/>
  <c r="I16" i="18"/>
  <c r="I11" i="18"/>
  <c r="E26" i="18"/>
  <c r="E21" i="18"/>
  <c r="E16" i="18"/>
  <c r="E11" i="18"/>
  <c r="H4" i="19"/>
  <c r="H7" i="19"/>
  <c r="H10" i="19"/>
  <c r="C11" i="19"/>
  <c r="E4" i="14"/>
  <c r="B18" i="16"/>
  <c r="C9" i="18"/>
  <c r="C8" i="18"/>
  <c r="B9" i="18"/>
  <c r="B8" i="18"/>
  <c r="B11" i="19"/>
  <c r="E10" i="19"/>
  <c r="B8" i="19"/>
  <c r="E7" i="19"/>
  <c r="E4" i="19"/>
  <c r="C8" i="19"/>
  <c r="C5" i="19"/>
  <c r="B5" i="19"/>
  <c r="C32" i="10"/>
  <c r="C31" i="10"/>
  <c r="C28" i="10"/>
  <c r="C25" i="10"/>
  <c r="C24" i="10" s="1"/>
  <c r="E24" i="10" s="1"/>
  <c r="B24" i="10"/>
  <c r="B34" i="10" s="1"/>
  <c r="C10" i="10"/>
  <c r="C7" i="10"/>
  <c r="C15" i="10"/>
  <c r="C13" i="10"/>
  <c r="B12" i="10"/>
  <c r="C21" i="10"/>
  <c r="C20" i="10"/>
  <c r="C6" i="10"/>
  <c r="C5" i="10"/>
  <c r="B4" i="10"/>
  <c r="C9" i="12"/>
  <c r="E9" i="12" s="1"/>
  <c r="G9" i="12" s="1"/>
  <c r="I9" i="12" s="1"/>
  <c r="C14" i="12"/>
  <c r="C28" i="12"/>
  <c r="E28" i="12" s="1"/>
  <c r="B28" i="12"/>
  <c r="C23" i="12"/>
  <c r="E23" i="12" s="1"/>
  <c r="G23" i="12" s="1"/>
  <c r="I23" i="12" s="1"/>
  <c r="B23" i="12"/>
  <c r="G14" i="12"/>
  <c r="I14" i="12" s="1"/>
  <c r="B14" i="12"/>
  <c r="B9" i="12"/>
  <c r="C4" i="12"/>
  <c r="E4" i="12" s="1"/>
  <c r="B4" i="12"/>
  <c r="C12" i="10" l="1"/>
  <c r="E12" i="10" s="1"/>
  <c r="G12" i="10" s="1"/>
  <c r="I12" i="10" s="1"/>
  <c r="C4" i="10"/>
  <c r="C34" i="10" s="1"/>
  <c r="G24" i="10"/>
  <c r="I24" i="10" s="1"/>
  <c r="B16" i="19"/>
  <c r="B34" i="12"/>
  <c r="C34" i="12"/>
  <c r="G28" i="12"/>
  <c r="I28" i="12" s="1"/>
  <c r="G4" i="12"/>
  <c r="I4" i="12" s="1"/>
  <c r="E4" i="10" l="1"/>
  <c r="B38" i="12"/>
  <c r="B35" i="12"/>
  <c r="B36" i="12" s="1"/>
  <c r="F11" i="21" s="1"/>
  <c r="B35" i="10" l="1"/>
  <c r="G4" i="10"/>
  <c r="A13" i="21"/>
  <c r="C13" i="21"/>
  <c r="C7" i="19"/>
  <c r="C4" i="19"/>
  <c r="B7" i="19"/>
  <c r="B4" i="19"/>
  <c r="G10" i="19"/>
  <c r="I10" i="19" s="1"/>
  <c r="C10" i="19"/>
  <c r="B10" i="19"/>
  <c r="B13" i="19" s="1"/>
  <c r="F8" i="19"/>
  <c r="F5" i="19"/>
  <c r="F28" i="18"/>
  <c r="F29" i="18"/>
  <c r="F27" i="18"/>
  <c r="F23" i="18"/>
  <c r="F24" i="18"/>
  <c r="F22" i="18"/>
  <c r="F18" i="18"/>
  <c r="F19" i="18"/>
  <c r="F17" i="18"/>
  <c r="G26" i="18"/>
  <c r="I26" i="18" s="1"/>
  <c r="C26" i="18"/>
  <c r="B26" i="18"/>
  <c r="G21" i="18"/>
  <c r="C21" i="18"/>
  <c r="B21" i="18"/>
  <c r="C16" i="18"/>
  <c r="B16" i="18"/>
  <c r="C11" i="18"/>
  <c r="B11" i="18"/>
  <c r="C4" i="18"/>
  <c r="C31" i="18" s="1"/>
  <c r="F7" i="18"/>
  <c r="F8" i="18"/>
  <c r="F9" i="18"/>
  <c r="B4" i="18"/>
  <c r="B31" i="18" s="1"/>
  <c r="G16" i="18"/>
  <c r="F14" i="18"/>
  <c r="F13" i="18"/>
  <c r="F12" i="18"/>
  <c r="F6" i="18"/>
  <c r="F5" i="18"/>
  <c r="E15" i="16"/>
  <c r="C15" i="16"/>
  <c r="F16" i="16"/>
  <c r="B15" i="16"/>
  <c r="F6" i="16"/>
  <c r="F5" i="16"/>
  <c r="B8" i="16"/>
  <c r="C8" i="16"/>
  <c r="F13" i="16"/>
  <c r="E8" i="16" s="1"/>
  <c r="C4" i="16"/>
  <c r="B4" i="16"/>
  <c r="F12" i="16"/>
  <c r="F11" i="16"/>
  <c r="F10" i="16"/>
  <c r="F9" i="16"/>
  <c r="B32" i="14"/>
  <c r="F27" i="14"/>
  <c r="F26" i="14"/>
  <c r="F25" i="14"/>
  <c r="F24" i="14"/>
  <c r="F23" i="14"/>
  <c r="F22" i="14"/>
  <c r="F21" i="14"/>
  <c r="G20" i="14" s="1"/>
  <c r="I20" i="14" s="1"/>
  <c r="B36" i="14" s="1"/>
  <c r="C20" i="14"/>
  <c r="C32" i="14" s="1"/>
  <c r="B20" i="14"/>
  <c r="F18" i="14"/>
  <c r="F17" i="14"/>
  <c r="F16" i="14"/>
  <c r="F15" i="14"/>
  <c r="E14" i="14" s="1"/>
  <c r="G14" i="14" s="1"/>
  <c r="C14" i="14"/>
  <c r="B14" i="14"/>
  <c r="F12" i="14"/>
  <c r="C4" i="14"/>
  <c r="B4" i="14"/>
  <c r="I4" i="10" l="1"/>
  <c r="B38" i="10" s="1"/>
  <c r="B36" i="10"/>
  <c r="E11" i="21" s="1"/>
  <c r="E4" i="18"/>
  <c r="G7" i="19"/>
  <c r="I7" i="19" s="1"/>
  <c r="C13" i="19"/>
  <c r="G4" i="19"/>
  <c r="I4" i="19" s="1"/>
  <c r="G11" i="18"/>
  <c r="G4" i="18"/>
  <c r="I4" i="18" s="1"/>
  <c r="B35" i="18" s="1"/>
  <c r="E4" i="16"/>
  <c r="G4" i="16" s="1"/>
  <c r="G15" i="16"/>
  <c r="G8" i="16"/>
  <c r="C18" i="16"/>
  <c r="G4" i="14"/>
  <c r="B19" i="16" l="1"/>
  <c r="B20" i="16" s="1"/>
  <c r="H11" i="21" s="1"/>
  <c r="I8" i="16"/>
  <c r="B22" i="16" s="1"/>
  <c r="E13" i="21"/>
  <c r="B32" i="18"/>
  <c r="B17" i="19"/>
  <c r="B14" i="19"/>
  <c r="B33" i="14"/>
  <c r="B34" i="14" s="1"/>
  <c r="G11" i="21" s="1"/>
  <c r="B16" i="21" s="1"/>
  <c r="B33" i="18"/>
  <c r="I11" i="21" s="1"/>
  <c r="G13" i="21" l="1"/>
  <c r="B15" i="19"/>
  <c r="J11" i="21" s="1"/>
  <c r="I13" i="21" s="1"/>
</calcChain>
</file>

<file path=xl/sharedStrings.xml><?xml version="1.0" encoding="utf-8"?>
<sst xmlns="http://schemas.openxmlformats.org/spreadsheetml/2006/main" count="669" uniqueCount="301">
  <si>
    <t>Titre</t>
  </si>
  <si>
    <t>Matière</t>
  </si>
  <si>
    <t>date examen</t>
  </si>
  <si>
    <t>date rendu note</t>
  </si>
  <si>
    <t>date rendu copie</t>
  </si>
  <si>
    <t>note</t>
  </si>
  <si>
    <t>commentaire</t>
  </si>
  <si>
    <t>Nom</t>
  </si>
  <si>
    <t>Prénom</t>
  </si>
  <si>
    <t>Site</t>
  </si>
  <si>
    <t>Cycle</t>
  </si>
  <si>
    <t>Tableau de bord</t>
  </si>
  <si>
    <t>S1</t>
  </si>
  <si>
    <t>A1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</si>
  <si>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</si>
  <si>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</si>
  <si>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</si>
  <si>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</si>
  <si>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</si>
  <si>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</si>
  <si>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</si>
  <si>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</si>
  <si>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</si>
  <si>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A2</t>
  </si>
  <si>
    <t>A3</t>
  </si>
  <si>
    <t>A4</t>
  </si>
  <si>
    <t>A5</t>
  </si>
  <si>
    <t>Brest</t>
  </si>
  <si>
    <t>Nantes</t>
  </si>
  <si>
    <t>Caen</t>
  </si>
  <si>
    <t>CGSI</t>
  </si>
  <si>
    <t>CIR</t>
  </si>
  <si>
    <t>BIOST</t>
  </si>
  <si>
    <t>EST</t>
  </si>
  <si>
    <t>BIAST</t>
  </si>
  <si>
    <t>MECA</t>
  </si>
  <si>
    <t>Mathématiques 1</t>
  </si>
  <si>
    <t>Matières S1</t>
  </si>
  <si>
    <t>Mathématiques 2</t>
  </si>
  <si>
    <t>Mathématiques 3</t>
  </si>
  <si>
    <t>Physique 1</t>
  </si>
  <si>
    <t>Physique 2</t>
  </si>
  <si>
    <t>Physique 3</t>
  </si>
  <si>
    <t>Sciences de l'ingénieur</t>
  </si>
  <si>
    <t>Algo - Python</t>
  </si>
  <si>
    <t>Culture numérique</t>
  </si>
  <si>
    <t>Formation humaine et sociale</t>
  </si>
  <si>
    <t>Anglais</t>
  </si>
  <si>
    <t>CGSI électif Mathématiques</t>
  </si>
  <si>
    <t>CGSI électif Physique</t>
  </si>
  <si>
    <t>CGSI électif Sciences de l'ingénieur</t>
  </si>
  <si>
    <t>CIR électif Algo C expert</t>
  </si>
  <si>
    <t>CIR électif Web frontend</t>
  </si>
  <si>
    <t>CIR électif Linux</t>
  </si>
  <si>
    <t>BIOST électif Bioscellulaire</t>
  </si>
  <si>
    <t>BIOST électif Histologie</t>
  </si>
  <si>
    <t>BIOST électif Biochimie</t>
  </si>
  <si>
    <t>CENT électif Introduction to economics</t>
  </si>
  <si>
    <t>CENT électif Leadership</t>
  </si>
  <si>
    <t>CENT électif Introduction to marketing</t>
  </si>
  <si>
    <t>Projet</t>
  </si>
  <si>
    <t>CIR électif Réseaux</t>
  </si>
  <si>
    <t>BIOST électif Physio humaine</t>
  </si>
  <si>
    <t>BIOST électif Anatomie</t>
  </si>
  <si>
    <t>BIOST électif Chimie</t>
  </si>
  <si>
    <t xml:space="preserve">CENT électif Histoire de l’économie et évolution des modèles économiques </t>
  </si>
  <si>
    <t xml:space="preserve">CENT électif Les fondamentaux de la relation client 4.0 </t>
  </si>
  <si>
    <t xml:space="preserve">CENT électif Theory of orga </t>
  </si>
  <si>
    <t>CENT électif Introduction to enterpreneurship</t>
  </si>
  <si>
    <t>Matières S2</t>
  </si>
  <si>
    <t>EST électif Changement climatique et sociétés</t>
  </si>
  <si>
    <t>EST électif Changement climatique : causes physiques</t>
  </si>
  <si>
    <t xml:space="preserve">EST électif Ecologie générale </t>
  </si>
  <si>
    <t>BIAST électif Bio veg (DA)</t>
  </si>
  <si>
    <t>BIAST électif Physio veg (DA; nov)</t>
  </si>
  <si>
    <t>BIAST électif Ecologie générale (FP+EST)</t>
  </si>
  <si>
    <t>BIAST électif Botanique (FP)</t>
  </si>
  <si>
    <t xml:space="preserve">MECA électif Mathématiques - compléments </t>
  </si>
  <si>
    <t>MECA électif Sciences de l'ingénieur - compléments</t>
  </si>
  <si>
    <t xml:space="preserve">MECA électif Mécanique </t>
  </si>
  <si>
    <t>EST électif Environnement et société</t>
  </si>
  <si>
    <t>EST électif Chimie</t>
  </si>
  <si>
    <t xml:space="preserve">EST électif Technologies pour l'environnement </t>
  </si>
  <si>
    <t>BIAST électif Biocell</t>
  </si>
  <si>
    <t>BIAST électif Biochimie</t>
  </si>
  <si>
    <t>BIAST électif Chimie</t>
  </si>
  <si>
    <t>BIAST électif Physio veg</t>
  </si>
  <si>
    <t>MECA électif Mathématiques - compléments</t>
  </si>
  <si>
    <t>MECA électif Mécanique</t>
  </si>
  <si>
    <t>Matières S3</t>
  </si>
  <si>
    <t>Matières S4</t>
  </si>
  <si>
    <t>Matières S5</t>
  </si>
  <si>
    <t>Matières S6</t>
  </si>
  <si>
    <t>Matières S7</t>
  </si>
  <si>
    <t>Matières S8</t>
  </si>
  <si>
    <t>Matières S9</t>
  </si>
  <si>
    <t>Matières S10</t>
  </si>
  <si>
    <t>Algo - Python (Algo - C++ pour les CIRs)</t>
  </si>
  <si>
    <t>Culture numérique (tableur)</t>
  </si>
  <si>
    <t>CIR électif Algo avancé</t>
  </si>
  <si>
    <t>CIR électif Serveur Web</t>
  </si>
  <si>
    <t>CIR électif Web backend</t>
  </si>
  <si>
    <t>CIR électif BDD</t>
  </si>
  <si>
    <t>BIOST électif Numérique et développement durable</t>
  </si>
  <si>
    <t>BIOST électif Ressources naturelles</t>
  </si>
  <si>
    <t>BIOST électif SIG</t>
  </si>
  <si>
    <t>BIOST électif Biocellulaire</t>
  </si>
  <si>
    <t>EST électif Numérique et développement durable</t>
  </si>
  <si>
    <t>EST électif Ressources naturelles</t>
  </si>
  <si>
    <t>EST électif SIG</t>
  </si>
  <si>
    <t>EST électif Biocellulaire</t>
  </si>
  <si>
    <t>BIAST électif Géologie</t>
  </si>
  <si>
    <t>BIAST électif Pédo</t>
  </si>
  <si>
    <t>BIAST électif Agro technique</t>
  </si>
  <si>
    <t>MECA électif Sciences de l'ingénieur compléments</t>
  </si>
  <si>
    <t>CGSI électif TIPE Robotique</t>
  </si>
  <si>
    <t>CIR électif Communication Web</t>
  </si>
  <si>
    <t>CIR électif Python</t>
  </si>
  <si>
    <t>BIOST électif Microbiologie</t>
  </si>
  <si>
    <t>BIOST électif Pharmaco-toxicologie</t>
  </si>
  <si>
    <t>EST électif Ecologie appliquée</t>
  </si>
  <si>
    <t xml:space="preserve">EST électif Ecotoxicologie </t>
  </si>
  <si>
    <t>EST électif Projet Environnement</t>
  </si>
  <si>
    <t>BIAST électif Ecologie appliquée</t>
  </si>
  <si>
    <t>BIAST électif Agro géné</t>
  </si>
  <si>
    <t>BIAST électif Génétique</t>
  </si>
  <si>
    <t>Probabilité</t>
  </si>
  <si>
    <t>Dispositifs à semiconducteurs</t>
  </si>
  <si>
    <t>Energie</t>
  </si>
  <si>
    <t>Electronique numérique - STM32</t>
  </si>
  <si>
    <t>Electronique analogique</t>
  </si>
  <si>
    <t>Linux</t>
  </si>
  <si>
    <t>Algo et langage C</t>
  </si>
  <si>
    <t>Economie</t>
  </si>
  <si>
    <t>Contrat moral</t>
  </si>
  <si>
    <t xml:space="preserve">Statistiques </t>
  </si>
  <si>
    <t>Big Data</t>
  </si>
  <si>
    <t>IA</t>
  </si>
  <si>
    <t>Base de données</t>
  </si>
  <si>
    <t>Dev Web</t>
  </si>
  <si>
    <t>Formation humaine et sociale (dont carto)</t>
  </si>
  <si>
    <t>Economie (dont DD)</t>
  </si>
  <si>
    <t>CIR Admin Linux</t>
  </si>
  <si>
    <t>CIR Framework</t>
  </si>
  <si>
    <t>CIR programmation linéaire</t>
  </si>
  <si>
    <t>CIR Design pattern</t>
  </si>
  <si>
    <t>Projet A3 TC Système complexe Information langage C</t>
  </si>
  <si>
    <t>Projet A3 TC Système complexe Electronique analogique</t>
  </si>
  <si>
    <t>Projet A3 TC Système complexe Electronique numérique - STM32</t>
  </si>
  <si>
    <t>Projet Analyse de données &amp; Cycle Big Data</t>
  </si>
  <si>
    <t>Projet Analyse de données &amp; Cycle IA</t>
  </si>
  <si>
    <t>Projet Analyse de données &amp; Cycle Web</t>
  </si>
  <si>
    <t>Projet Analyse de données &amp; Cycle Electif (projet Math R)</t>
  </si>
  <si>
    <t>Traitement du signal</t>
  </si>
  <si>
    <t>Communications numériques</t>
  </si>
  <si>
    <t>Théorie de la décision</t>
  </si>
  <si>
    <t>Logique sur FPGA</t>
  </si>
  <si>
    <t>Automatique</t>
  </si>
  <si>
    <t>Systèmes temps réel</t>
  </si>
  <si>
    <t>Java/UML</t>
  </si>
  <si>
    <t>Réseaux</t>
  </si>
  <si>
    <t>Linux embarqué</t>
  </si>
  <si>
    <t>Eco/qualité/GP</t>
  </si>
  <si>
    <t>Projet M1 (9 semaines)</t>
  </si>
  <si>
    <t>Entreprenariat (après projet et vacances)</t>
  </si>
  <si>
    <t>Electif 1</t>
  </si>
  <si>
    <t>Electif 2</t>
  </si>
  <si>
    <t>Electif 3</t>
  </si>
  <si>
    <t>Electif 4</t>
  </si>
  <si>
    <t xml:space="preserve">Ouverture à la recherche (facultatif) </t>
  </si>
  <si>
    <t>Stage technique M1</t>
  </si>
  <si>
    <t>Gestion de projet et qualité</t>
  </si>
  <si>
    <t>Inititiation recherche</t>
  </si>
  <si>
    <t>Projet recherche DP</t>
  </si>
  <si>
    <t>Entreprise alternants (électif)</t>
  </si>
  <si>
    <t>Projet RDI non alternants (électif)</t>
  </si>
  <si>
    <t>Economie et entreprise (dont Hygiène et sécurité)</t>
  </si>
  <si>
    <t xml:space="preserve">UE1 Electif 1 </t>
  </si>
  <si>
    <t>UE1 Electif 2</t>
  </si>
  <si>
    <t>UE1 Electif 3</t>
  </si>
  <si>
    <t xml:space="preserve">UE2 Electif 1 </t>
  </si>
  <si>
    <t>UE2 Electif 2</t>
  </si>
  <si>
    <t>UE2 Electif 3</t>
  </si>
  <si>
    <t xml:space="preserve">UE3 Electif 1 </t>
  </si>
  <si>
    <t>UE3 Electif 2</t>
  </si>
  <si>
    <t>UE3 Electif 3</t>
  </si>
  <si>
    <t>Projet Bibliographique et recherche (alternant)</t>
  </si>
  <si>
    <t>Stage M2</t>
  </si>
  <si>
    <t>SEMESTRE 6</t>
  </si>
  <si>
    <t xml:space="preserve">UE et ECUE </t>
  </si>
  <si>
    <t xml:space="preserve">Nb. d'heures </t>
  </si>
  <si>
    <t>Valeur</t>
  </si>
  <si>
    <t>Traitement de l'information</t>
  </si>
  <si>
    <t>moyenne</t>
  </si>
  <si>
    <t>Traitement du Signal</t>
  </si>
  <si>
    <t>DS 1</t>
  </si>
  <si>
    <t>DS2</t>
  </si>
  <si>
    <t>TP Matlab</t>
  </si>
  <si>
    <t>DS</t>
  </si>
  <si>
    <t>logique sur FPGA</t>
  </si>
  <si>
    <t>éval TP</t>
  </si>
  <si>
    <t>Informatique</t>
  </si>
  <si>
    <t>Systèmes Temps réel</t>
  </si>
  <si>
    <t>QCM +éval sur machines</t>
  </si>
  <si>
    <t>Java/ UML</t>
  </si>
  <si>
    <t>TP noté</t>
  </si>
  <si>
    <t>TP noté + questions</t>
  </si>
  <si>
    <t>Humanités</t>
  </si>
  <si>
    <t xml:space="preserve">Formation humaine et sociale </t>
  </si>
  <si>
    <t>Pecha Kucha</t>
  </si>
  <si>
    <t>4 CVs</t>
  </si>
  <si>
    <t>dossier perso</t>
  </si>
  <si>
    <t>Economie / Qualité / GP</t>
  </si>
  <si>
    <t>QCM économie</t>
  </si>
  <si>
    <t>Qualité</t>
  </si>
  <si>
    <t>Droit du travail</t>
  </si>
  <si>
    <t>Gestion de projet/ Finance</t>
  </si>
  <si>
    <t>TOIEC</t>
  </si>
  <si>
    <t>contrat moral</t>
  </si>
  <si>
    <t>total</t>
  </si>
  <si>
    <t>moyenne générale pondérée entre UE</t>
  </si>
  <si>
    <t>moyenne arrondie au 0,01 le plus proche</t>
  </si>
  <si>
    <t>moyenne arrondie</t>
  </si>
  <si>
    <t>SEMESTRE 7</t>
  </si>
  <si>
    <t>Projet système</t>
  </si>
  <si>
    <t>note de projet</t>
  </si>
  <si>
    <t>Domaine professionnel</t>
  </si>
  <si>
    <t>Ouverture à la recherche (facultatif)</t>
  </si>
  <si>
    <t>rapport de stage</t>
  </si>
  <si>
    <t>SEMESTRE 8</t>
  </si>
  <si>
    <t>SEMESTRE 9</t>
  </si>
  <si>
    <t>UE Projet entreprise</t>
  </si>
  <si>
    <t>UE Humanités</t>
  </si>
  <si>
    <t>Statut</t>
  </si>
  <si>
    <t>OUI</t>
  </si>
  <si>
    <t>NON</t>
  </si>
  <si>
    <t>UE1 de Domaine professionnel</t>
  </si>
  <si>
    <t>UE2 de Domaine professionnel</t>
  </si>
  <si>
    <t>UE3 de Domaine professionnel</t>
  </si>
  <si>
    <t>SEMESTRE 10</t>
  </si>
  <si>
    <t>UE Projet recherche et innovation (électif)</t>
  </si>
  <si>
    <t>UE Entreprise (électif)</t>
  </si>
  <si>
    <t>Alternance entreprise</t>
  </si>
  <si>
    <t xml:space="preserve">Outils de l'ingénieur </t>
  </si>
  <si>
    <t>Statistiques</t>
  </si>
  <si>
    <t xml:space="preserve">Formation humaine et sociale (dont carto) </t>
  </si>
  <si>
    <t>note site web</t>
  </si>
  <si>
    <t>note semaine controverse</t>
  </si>
  <si>
    <t>analyse cycle de vie</t>
  </si>
  <si>
    <t>note DD</t>
  </si>
  <si>
    <t>note économie, gestion de projet et agile</t>
  </si>
  <si>
    <t>note contrat moral</t>
  </si>
  <si>
    <t>Projet A3 TC Système complexe</t>
  </si>
  <si>
    <t>Informatique langage C</t>
  </si>
  <si>
    <t xml:space="preserve">Electronique numérique - STM32 </t>
  </si>
  <si>
    <t xml:space="preserve">Projet Analyse de données &amp; Cycle </t>
  </si>
  <si>
    <t>Web</t>
  </si>
  <si>
    <t>Electif (projet Math R)</t>
  </si>
  <si>
    <t xml:space="preserve">SEMESTRE 5 </t>
  </si>
  <si>
    <t xml:space="preserve">Mathématiques 1 </t>
  </si>
  <si>
    <t xml:space="preserve">Probabilités </t>
  </si>
  <si>
    <t xml:space="preserve">Linux </t>
  </si>
  <si>
    <t xml:space="preserve">Algo et langage C </t>
  </si>
  <si>
    <t>note DS</t>
  </si>
  <si>
    <t>note TP</t>
  </si>
  <si>
    <t>Electronique</t>
  </si>
  <si>
    <t>note DS 1</t>
  </si>
  <si>
    <t>note DS2</t>
  </si>
  <si>
    <t>note CR TP 4</t>
  </si>
  <si>
    <t>note CR TP 5</t>
  </si>
  <si>
    <t>note TP noté</t>
  </si>
  <si>
    <t>note podcast</t>
  </si>
  <si>
    <t>note controverse</t>
  </si>
  <si>
    <t>rappport et compte 
rendu de stage</t>
  </si>
  <si>
    <t>note éthique</t>
  </si>
  <si>
    <t>note géopolitique</t>
  </si>
  <si>
    <t>note économie</t>
  </si>
  <si>
    <t>exposé</t>
  </si>
  <si>
    <t>note anglais</t>
  </si>
  <si>
    <t>Statut alternant</t>
  </si>
  <si>
    <t>nombre ECTS validables</t>
  </si>
  <si>
    <t>nombre ECTS validés</t>
  </si>
  <si>
    <t>nombre crédits 
ECTS validables</t>
  </si>
  <si>
    <t>note finale DS Physique des composants</t>
  </si>
  <si>
    <t>note DS Physique Quantique</t>
  </si>
  <si>
    <t xml:space="preserve">note TP </t>
  </si>
  <si>
    <t>nombre crédits 
ECTS validés</t>
  </si>
  <si>
    <t xml:space="preserve">SEMESTRE 4 </t>
  </si>
  <si>
    <t xml:space="preserve">SEMESTRE 3 </t>
  </si>
  <si>
    <t xml:space="preserve">SEMESTRE 2 </t>
  </si>
  <si>
    <t xml:space="preserve">SEMESTRE 1 </t>
  </si>
  <si>
    <t>Autorisation départ à l'étranger A4</t>
  </si>
  <si>
    <t>Autorisation départ à l'étranger A5</t>
  </si>
  <si>
    <t>coeff 0,5</t>
  </si>
  <si>
    <t>coeff 1,5</t>
  </si>
  <si>
    <t>moyenne
arrondie</t>
  </si>
  <si>
    <t xml:space="preserve">Nb. 
d'heures </t>
  </si>
  <si>
    <t>Coeff
ECUE</t>
  </si>
  <si>
    <t>Coeff
notes</t>
  </si>
  <si>
    <t xml:space="preserve">Nb.
d'heures </t>
  </si>
  <si>
    <t>moyennearrondie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</si>
</sst>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00"/>
  </numFmts>
  <fonts count="7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5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0" borderId="1" xfId="0" applyBorder="1"/>
    <xf numFmtId="2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3" fillId="0" borderId="0" xfId="0" applyFont="1"/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2" fontId="0" fillId="0" borderId="1" xfId="0" applyNumberFormat="1" applyBorder="1"/>
    <xf numFmtId="0" fontId="0" fillId="0" borderId="0" xfId="0" applyAlignment="1">
      <alignment wrapText="1"/>
    </xf>
    <xf numFmtId="165" fontId="0" fillId="0" borderId="0" xfId="0" applyNumberFormat="1"/>
    <xf numFmtId="0" fontId="0" fillId="3" borderId="0" xfId="0" applyFill="1"/>
    <xf numFmtId="0" fontId="6" fillId="0" borderId="0" xfId="0" applyFont="1"/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26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de la moyenne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'Read me'!$A$8:$J$8</c:f>
              <c:strCache>
                <c:ptCount val="1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</c:strCache>
            </c:strRef>
          </c:cat>
          <c:val>
            <c:numRef>
              <c:f>'Read me'!$A$9:$J$9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82-4418-AB98-5478334F103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'Read me'!$A$8:$J$8</c:f>
              <c:strCache>
                <c:ptCount val="1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</c:strCache>
            </c:strRef>
          </c:cat>
          <c:val>
            <c:numRef>
              <c:f>'Read me'!$A$10:$J$10</c:f>
              <c:numCache>
                <c:formatCode>General</c:formatCode>
                <c:ptCount val="10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 formatCode="0.00">
                  <c:v>13</c:v>
                </c:pt>
                <c:pt idx="6" formatCode="0.00">
                  <c:v>13</c:v>
                </c:pt>
                <c:pt idx="7" formatCode="0.00">
                  <c:v>13</c:v>
                </c:pt>
                <c:pt idx="8" formatCode="0.00">
                  <c:v>13</c:v>
                </c:pt>
                <c:pt idx="9" formatCode="0.0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82-4418-AB98-5478334F103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'Read me'!$A$8:$J$8</c:f>
              <c:strCache>
                <c:ptCount val="1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</c:strCache>
            </c:strRef>
          </c:cat>
          <c:val>
            <c:numRef>
              <c:f>'Read me'!$A$11:$J$11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">
                  <c:v>10</c:v>
                </c:pt>
                <c:pt idx="5" formatCode="0.00">
                  <c:v>10</c:v>
                </c:pt>
                <c:pt idx="6" formatCode="0.00">
                  <c:v>10</c:v>
                </c:pt>
                <c:pt idx="7" formatCode="0.00">
                  <c:v>10</c:v>
                </c:pt>
                <c:pt idx="8" formatCode="0.00">
                  <c:v>10</c:v>
                </c:pt>
                <c:pt idx="9" formatCode="0.0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82-4418-AB98-5478334F10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56671151"/>
        <c:axId val="1456668271"/>
      </c:lineChart>
      <c:catAx>
        <c:axId val="1456671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Semestre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6668271"/>
        <c:crosses val="autoZero"/>
        <c:auto val="1"/>
        <c:lblAlgn val="ctr"/>
        <c:lblOffset val="100"/>
        <c:noMultiLvlLbl val="0"/>
      </c:catAx>
      <c:valAx>
        <c:axId val="145666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Moyenne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667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11391</xdr:rowOff>
    </xdr:from>
    <xdr:to>
      <xdr:col>9</xdr:col>
      <xdr:colOff>773441</xdr:colOff>
      <xdr:row>31</xdr:row>
      <xdr:rowOff>136207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2CC1DB8-6680-A526-B83C-45CC7A810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545D5-B693-46C9-99FB-DE6A8E65116F}">
  <dimension ref="A1:K16"/>
  <sheetViews>
    <sheetView tabSelected="1" zoomScale="93" zoomScaleNormal="85" workbookViewId="0">
      <selection activeCell="B1" sqref="B1"/>
    </sheetView>
  </sheetViews>
  <sheetFormatPr baseColWidth="10" defaultRowHeight="14.4" x14ac:dyDescent="0.55000000000000004"/>
  <cols>
    <col min="1" max="1" width="27.578125" bestFit="1" customWidth="1"/>
    <col min="2" max="2" width="20.9453125" bestFit="1" customWidth="1"/>
  </cols>
  <sheetData>
    <row r="1" spans="1:11" x14ac:dyDescent="0.55000000000000004">
      <c r="A1" s="1" t="s">
        <v>7</v>
      </c>
    </row>
    <row r="2" spans="1:11" x14ac:dyDescent="0.55000000000000004">
      <c r="A2" s="1" t="s">
        <v>8</v>
      </c>
    </row>
    <row r="3" spans="1:11" x14ac:dyDescent="0.55000000000000004">
      <c r="A3" s="1" t="s">
        <v>9</v>
      </c>
      <c r="B3" t="s">
        <v>28</v>
      </c>
    </row>
    <row r="4" spans="1:11" x14ac:dyDescent="0.55000000000000004">
      <c r="A4" s="1" t="s">
        <v>10</v>
      </c>
      <c r="B4" t="s">
        <v>30</v>
      </c>
    </row>
    <row r="5" spans="1:11" x14ac:dyDescent="0.55000000000000004">
      <c r="A5" s="1" t="s">
        <v>279</v>
      </c>
      <c r="B5" t="s">
        <v>235</v>
      </c>
    </row>
    <row r="7" spans="1:11" x14ac:dyDescent="0.55000000000000004">
      <c r="A7" s="1" t="s">
        <v>11</v>
      </c>
    </row>
    <row r="8" spans="1:11" x14ac:dyDescent="0.55000000000000004">
      <c r="A8" s="2" t="s">
        <v>12</v>
      </c>
      <c r="B8" s="2" t="s">
        <v>14</v>
      </c>
      <c r="C8" s="2" t="s">
        <v>15</v>
      </c>
      <c r="D8" s="2" t="s">
        <v>16</v>
      </c>
      <c r="E8" s="2" t="s">
        <v>17</v>
      </c>
      <c r="F8" s="2" t="s">
        <v>18</v>
      </c>
      <c r="G8" s="2" t="s">
        <v>19</v>
      </c>
      <c r="H8" s="2" t="s">
        <v>20</v>
      </c>
      <c r="I8" s="2" t="s">
        <v>21</v>
      </c>
      <c r="J8" s="2" t="s">
        <v>22</v>
      </c>
    </row>
    <row r="9" spans="1:11" ht="0.6" customHeight="1" x14ac:dyDescent="0.55000000000000004">
      <c r="A9" s="2">
        <v>10</v>
      </c>
      <c r="B9" s="2">
        <v>10</v>
      </c>
      <c r="C9" s="2">
        <v>10</v>
      </c>
      <c r="D9" s="2">
        <v>10</v>
      </c>
      <c r="E9" s="2">
        <v>10</v>
      </c>
      <c r="F9" s="2">
        <v>10</v>
      </c>
      <c r="G9" s="2">
        <v>10</v>
      </c>
      <c r="H9" s="2">
        <v>10</v>
      </c>
      <c r="I9" s="2">
        <v>10</v>
      </c>
      <c r="J9" s="2">
        <v>10</v>
      </c>
    </row>
    <row r="10" spans="1:11" ht="0.6" customHeight="1" x14ac:dyDescent="0.55000000000000004">
      <c r="A10" s="2">
        <v>13</v>
      </c>
      <c r="B10" s="2">
        <v>13</v>
      </c>
      <c r="C10" s="2">
        <v>13</v>
      </c>
      <c r="D10" s="2">
        <v>13</v>
      </c>
      <c r="E10" s="2">
        <v>13</v>
      </c>
      <c r="F10" s="11">
        <v>13</v>
      </c>
      <c r="G10" s="11">
        <v>13</v>
      </c>
      <c r="H10" s="11">
        <v>13</v>
      </c>
      <c r="I10" s="11">
        <v>13</v>
      </c>
      <c r="J10" s="11">
        <v>13</v>
      </c>
    </row>
    <row r="11" spans="1:11" x14ac:dyDescent="0.55000000000000004">
      <c r="A11" s="2">
        <v>0</v>
      </c>
      <c r="B11" s="2">
        <v>0</v>
      </c>
      <c r="C11" s="2">
        <v>0</v>
      </c>
      <c r="D11" s="2">
        <v>0</v>
      </c>
      <c r="E11" s="11">
        <f>'Bulletin S5'!B36</f>
        <v>10</v>
      </c>
      <c r="F11" s="11">
        <f>'Bulletin S6'!B36</f>
        <v>10</v>
      </c>
      <c r="G11" s="11">
        <f>'Bulletin S7'!B34</f>
        <v>10</v>
      </c>
      <c r="H11" s="11">
        <f>'Bulletin S8'!B20</f>
        <v>10</v>
      </c>
      <c r="I11" s="11">
        <f>'Bulletin S9'!B33</f>
        <v>10</v>
      </c>
      <c r="J11" s="11">
        <f>'Bulletin S10'!B15</f>
        <v>10</v>
      </c>
    </row>
    <row r="12" spans="1:11" x14ac:dyDescent="0.55000000000000004">
      <c r="A12" s="20" t="s">
        <v>13</v>
      </c>
      <c r="B12" s="21"/>
      <c r="C12" s="20" t="s">
        <v>23</v>
      </c>
      <c r="D12" s="21"/>
      <c r="E12" s="20" t="s">
        <v>24</v>
      </c>
      <c r="F12" s="21"/>
      <c r="G12" s="20" t="s">
        <v>25</v>
      </c>
      <c r="H12" s="21"/>
      <c r="I12" s="20" t="s">
        <v>26</v>
      </c>
      <c r="J12" s="21"/>
    </row>
    <row r="13" spans="1:11" x14ac:dyDescent="0.55000000000000004">
      <c r="A13" s="16">
        <f>AVERAGE(A11,B11)</f>
        <v>0</v>
      </c>
      <c r="B13" s="17"/>
      <c r="C13" s="16">
        <f>AVERAGE(C11,D11)</f>
        <v>0</v>
      </c>
      <c r="D13" s="17"/>
      <c r="E13" s="16">
        <f>AVERAGE(E11,F11)</f>
        <v>10</v>
      </c>
      <c r="F13" s="17"/>
      <c r="G13" s="16">
        <f>AVERAGE(G11,H11)</f>
        <v>10</v>
      </c>
      <c r="H13" s="17"/>
      <c r="I13" s="18">
        <f>AVERAGE(I11,J11)</f>
        <v>10</v>
      </c>
      <c r="J13" s="19"/>
      <c r="K13" s="15"/>
    </row>
    <row r="15" spans="1:11" x14ac:dyDescent="0.55000000000000004">
      <c r="A15" s="1" t="s">
        <v>291</v>
      </c>
      <c r="B15" s="15" t="str">
        <f>IF(E11+F11&gt;=26,"OUI","NON")</f>
        <v>NON</v>
      </c>
      <c r="D15" s="15"/>
    </row>
    <row r="16" spans="1:11" x14ac:dyDescent="0.55000000000000004">
      <c r="A16" s="1" t="s">
        <v>292</v>
      </c>
      <c r="B16" s="15" t="str">
        <f>IF(E11+F11+G11+H11&gt;=52,"OUI","NON")</f>
        <v>NON</v>
      </c>
      <c r="D16" s="15"/>
    </row>
  </sheetData>
  <mergeCells count="10">
    <mergeCell ref="A12:B12"/>
    <mergeCell ref="C12:D12"/>
    <mergeCell ref="E12:F12"/>
    <mergeCell ref="G12:H12"/>
    <mergeCell ref="I12:J12"/>
    <mergeCell ref="A13:B13"/>
    <mergeCell ref="C13:D13"/>
    <mergeCell ref="E13:F13"/>
    <mergeCell ref="G13:H13"/>
    <mergeCell ref="I13:J13"/>
  </mergeCells>
  <phoneticPr fontId="1" type="noConversion"/>
  <conditionalFormatting sqref="A9:J11">
    <cfRule type="cellIs" dxfId="25" priority="21" operator="between">
      <formula>10</formula>
      <formula>20</formula>
    </cfRule>
    <cfRule type="cellIs" dxfId="24" priority="22" operator="between">
      <formula>0</formula>
      <formula>10</formula>
    </cfRule>
  </conditionalFormatting>
  <conditionalFormatting sqref="A13:J13">
    <cfRule type="expression" dxfId="23" priority="7">
      <formula>AND(A11&gt;=10, B11&gt;=10)</formula>
    </cfRule>
    <cfRule type="expression" dxfId="22" priority="8">
      <formula>OR(A11&lt;10, B11&lt;10)</formula>
    </cfRule>
  </conditionalFormatting>
  <conditionalFormatting sqref="B15:B16">
    <cfRule type="expression" dxfId="21" priority="1">
      <formula>B15="OUI"</formula>
    </cfRule>
    <cfRule type="expression" dxfId="20" priority="2">
      <formula>B15="NON"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3E46ACC-08FD-45B9-AF40-8558120C43BC}">
          <x14:formula1>
            <xm:f>'Menus déroulants'!$A$2:$A$4</xm:f>
          </x14:formula1>
          <xm:sqref>B3</xm:sqref>
        </x14:dataValidation>
        <x14:dataValidation type="list" allowBlank="1" showInputMessage="1" showErrorMessage="1" xr:uid="{486134F2-0FAD-4EA9-A1A6-A0EF2E45CE9C}">
          <x14:formula1>
            <xm:f>'Menus déroulants'!$B$2:$B$7</xm:f>
          </x14:formula1>
          <xm:sqref>B4</xm:sqref>
        </x14:dataValidation>
        <x14:dataValidation type="list" allowBlank="1" showInputMessage="1" showErrorMessage="1" xr:uid="{865536C2-6E0A-4660-846D-EBE6F88EDC27}">
          <x14:formula1>
            <xm:f>'Menus déroulants'!$C$2:$C$3</xm:f>
          </x14:formula1>
          <xm:sqref>B5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6BE60-A328-4A65-9F1F-57212B5C5A82}">
  <dimension ref="A1:I18"/>
  <sheetViews>
    <sheetView workbookViewId="0">
      <selection activeCell="I3" sqref="I3"/>
    </sheetView>
  </sheetViews>
  <sheetFormatPr baseColWidth="10" defaultRowHeight="14.4" x14ac:dyDescent="0.55000000000000004"/>
  <cols>
    <col min="1" max="1" width="33.3671875" bestFit="1" customWidth="1"/>
    <col min="2" max="2" width="10.26171875" bestFit="1" customWidth="1"/>
    <col min="3" max="3" width="6.9453125" bestFit="1" customWidth="1"/>
    <col min="6" max="6" width="6.89453125" bestFit="1" customWidth="1"/>
    <col min="8" max="8" width="18.3125" bestFit="1" customWidth="1"/>
    <col min="9" max="9" width="18.1015625" bestFit="1" customWidth="1"/>
  </cols>
  <sheetData>
    <row r="1" spans="1:9" ht="26.4" x14ac:dyDescent="1">
      <c r="A1" s="6" t="s">
        <v>287</v>
      </c>
      <c r="B1" s="7"/>
    </row>
    <row r="2" spans="1:9" ht="39.6" customHeight="1" x14ac:dyDescent="0.75">
      <c r="A2" s="8" t="s">
        <v>189</v>
      </c>
      <c r="B2" s="9" t="s">
        <v>296</v>
      </c>
      <c r="C2" s="9" t="s">
        <v>297</v>
      </c>
      <c r="D2" s="8"/>
      <c r="E2" s="8" t="s">
        <v>191</v>
      </c>
      <c r="F2" s="9" t="s">
        <v>298</v>
      </c>
      <c r="G2" s="9" t="s">
        <v>222</v>
      </c>
      <c r="H2" s="9" t="s">
        <v>282</v>
      </c>
      <c r="I2" s="9" t="s">
        <v>286</v>
      </c>
    </row>
    <row r="14" spans="1:9" x14ac:dyDescent="0.55000000000000004">
      <c r="A14" s="7" t="s">
        <v>219</v>
      </c>
    </row>
    <row r="15" spans="1:9" x14ac:dyDescent="0.55000000000000004">
      <c r="A15" s="7" t="s">
        <v>220</v>
      </c>
    </row>
    <row r="16" spans="1:9" x14ac:dyDescent="0.55000000000000004">
      <c r="A16" s="7" t="s">
        <v>221</v>
      </c>
    </row>
    <row r="17" spans="1:1" x14ac:dyDescent="0.55000000000000004">
      <c r="A17" s="7" t="s">
        <v>280</v>
      </c>
    </row>
    <row r="18" spans="1:1" x14ac:dyDescent="0.55000000000000004">
      <c r="A18" s="7" t="s">
        <v>281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EB434-8BCE-42EA-95ED-0DFA4EE4F999}">
  <dimension ref="A1:G3"/>
  <sheetViews>
    <sheetView workbookViewId="0">
      <selection activeCell="G4" sqref="G4"/>
    </sheetView>
  </sheetViews>
  <sheetFormatPr baseColWidth="10" defaultRowHeight="14.4" x14ac:dyDescent="0.55000000000000004"/>
  <cols>
    <col min="2" max="2" width="26.1015625" bestFit="1" customWidth="1"/>
    <col min="5" max="5" width="12.9453125" bestFit="1" customWidth="1"/>
    <col min="6" max="6" width="13.734375" bestFit="1" customWidth="1"/>
    <col min="7" max="7" width="44.4726562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  <row r="2" spans="1:7" x14ac:dyDescent="0.55000000000000004">
      <c r="A2" t="s">
        <v>277</v>
      </c>
      <c r="B2" t="s">
        <v>128</v>
      </c>
      <c r="C2">
        <v>10</v>
      </c>
      <c r="G2" t="s">
        <v>293</v>
      </c>
    </row>
    <row r="3" spans="1:7" x14ac:dyDescent="0.55000000000000004">
      <c r="A3" t="s">
        <v>198</v>
      </c>
      <c r="B3" t="s">
        <v>128</v>
      </c>
      <c r="C3">
        <v>10</v>
      </c>
      <c r="G3" t="s">
        <v>294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97A4429-D931-4C74-BA49-BE2D76FE0DC8}">
          <x14:formula1>
            <xm:f>'Menus déroulants'!$H$2:$H$13</xm:f>
          </x14:formula1>
          <xm:sqref>B2:B50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C634D-F745-4B98-9126-F519BA81ACB8}">
  <dimension ref="A1:I38"/>
  <sheetViews>
    <sheetView topLeftCell="A16" zoomScale="85" zoomScaleNormal="85" workbookViewId="0">
      <selection activeCell="D16" sqref="D16"/>
    </sheetView>
  </sheetViews>
  <sheetFormatPr baseColWidth="10" defaultRowHeight="14.4" x14ac:dyDescent="0.55000000000000004"/>
  <cols>
    <col min="1" max="1" width="33.3671875" bestFit="1" customWidth="1"/>
    <col min="2" max="2" width="10.578125" bestFit="1" customWidth="1"/>
    <col min="3" max="3" width="6.89453125" bestFit="1" customWidth="1"/>
    <col min="4" max="4" width="32.3125" bestFit="1" customWidth="1"/>
    <col min="5" max="5" width="8.1015625" bestFit="1" customWidth="1"/>
    <col min="6" max="6" width="7.15625" bestFit="1" customWidth="1"/>
    <col min="7" max="7" width="11.20703125" bestFit="1" customWidth="1"/>
    <col min="8" max="8" width="18.89453125" bestFit="1" customWidth="1"/>
    <col min="9" max="9" width="18.734375" bestFit="1" customWidth="1"/>
  </cols>
  <sheetData>
    <row r="1" spans="1:9" ht="26.4" x14ac:dyDescent="1">
      <c r="A1" s="6" t="s">
        <v>258</v>
      </c>
      <c r="B1" s="7"/>
    </row>
    <row r="2" spans="1:9" ht="37.200000000000003" customHeight="1" x14ac:dyDescent="0.75">
      <c r="A2" s="8" t="s">
        <v>189</v>
      </c>
      <c r="B2" s="9" t="s">
        <v>296</v>
      </c>
      <c r="C2" s="9" t="s">
        <v>297</v>
      </c>
      <c r="D2" s="8"/>
      <c r="E2" s="8" t="s">
        <v>191</v>
      </c>
      <c r="F2" s="9" t="s">
        <v>298</v>
      </c>
      <c r="G2" s="9" t="s">
        <v>295</v>
      </c>
      <c r="H2" s="9" t="s">
        <v>282</v>
      </c>
      <c r="I2" s="9" t="s">
        <v>286</v>
      </c>
    </row>
    <row r="4" spans="1:9" x14ac:dyDescent="0.55000000000000004">
      <c r="A4" s="7" t="s">
        <v>243</v>
      </c>
      <c r="B4">
        <f>B5+B6+B20+B21</f>
        <v>105</v>
      </c>
      <c r="C4">
        <f>C5+C6+C7+C10</f>
        <v>9</v>
      </c>
      <c r="D4" t="s">
        <v>193</v>
      </c>
      <c r="E4">
        <f>(E5*F5+E6*F6+E7*F7+E8*F8+E9*F9+E10*F10)/(C4)</f>
        <v>10</v>
      </c>
      <c r="G4">
        <f>ROUND(E4, 2)</f>
        <v>10</v>
      </c>
      <c r="H4">
        <v>11</v>
      </c>
      <c r="I4">
        <f>IF(G4&gt;=10,H4,0)</f>
        <v>11</v>
      </c>
    </row>
    <row r="5" spans="1:9" x14ac:dyDescent="0.55000000000000004">
      <c r="A5" t="s">
        <v>259</v>
      </c>
      <c r="B5">
        <v>30</v>
      </c>
      <c r="C5">
        <f>F5</f>
        <v>2</v>
      </c>
      <c r="D5" t="s">
        <v>5</v>
      </c>
      <c r="E5">
        <v>10</v>
      </c>
      <c r="F5">
        <v>2</v>
      </c>
    </row>
    <row r="6" spans="1:9" x14ac:dyDescent="0.55000000000000004">
      <c r="A6" t="s">
        <v>260</v>
      </c>
      <c r="B6">
        <v>15</v>
      </c>
      <c r="C6">
        <f>F6</f>
        <v>1</v>
      </c>
      <c r="D6" t="s">
        <v>5</v>
      </c>
      <c r="E6">
        <v>10</v>
      </c>
      <c r="F6">
        <v>1</v>
      </c>
    </row>
    <row r="7" spans="1:9" x14ac:dyDescent="0.55000000000000004">
      <c r="A7" t="s">
        <v>127</v>
      </c>
      <c r="B7">
        <v>60</v>
      </c>
      <c r="C7">
        <f>F7+F8+F9</f>
        <v>4</v>
      </c>
      <c r="D7" t="s">
        <v>284</v>
      </c>
      <c r="E7">
        <v>10</v>
      </c>
      <c r="F7">
        <v>1</v>
      </c>
    </row>
    <row r="8" spans="1:9" x14ac:dyDescent="0.55000000000000004">
      <c r="D8" t="s">
        <v>283</v>
      </c>
      <c r="E8">
        <v>10</v>
      </c>
      <c r="F8">
        <v>2</v>
      </c>
    </row>
    <row r="9" spans="1:9" x14ac:dyDescent="0.55000000000000004">
      <c r="D9" t="s">
        <v>285</v>
      </c>
      <c r="E9">
        <v>10</v>
      </c>
      <c r="F9">
        <v>1</v>
      </c>
    </row>
    <row r="10" spans="1:9" x14ac:dyDescent="0.55000000000000004">
      <c r="A10" t="s">
        <v>128</v>
      </c>
      <c r="B10">
        <v>30</v>
      </c>
      <c r="C10">
        <f>F10</f>
        <v>2</v>
      </c>
      <c r="D10" t="s">
        <v>5</v>
      </c>
      <c r="E10">
        <f>('Notes S5'!C2*0.5+'Notes S5'!C3*1.5)/(F10)</f>
        <v>10</v>
      </c>
      <c r="F10">
        <v>2</v>
      </c>
    </row>
    <row r="12" spans="1:9" x14ac:dyDescent="0.55000000000000004">
      <c r="A12" s="7" t="s">
        <v>265</v>
      </c>
      <c r="B12">
        <f>B13+B15</f>
        <v>105</v>
      </c>
      <c r="C12">
        <f>C13+C15+C20+C21</f>
        <v>11</v>
      </c>
      <c r="D12" t="s">
        <v>193</v>
      </c>
      <c r="E12">
        <f>(E13*F13+E14*F14+E15*F15+E16*F16+E17*F17+E18*F18+E19*F19+E20*F20+E21*F21+E22*F22)/(C12)</f>
        <v>10</v>
      </c>
      <c r="G12">
        <f>ROUND(E12, 2)</f>
        <v>10</v>
      </c>
      <c r="H12">
        <v>12</v>
      </c>
      <c r="I12">
        <f>IF(G12&gt;=10,H12,0)</f>
        <v>12</v>
      </c>
    </row>
    <row r="13" spans="1:9" x14ac:dyDescent="0.55000000000000004">
      <c r="A13" t="s">
        <v>129</v>
      </c>
      <c r="B13">
        <v>45</v>
      </c>
      <c r="C13">
        <f>F13+F14</f>
        <v>3</v>
      </c>
      <c r="D13" t="s">
        <v>263</v>
      </c>
      <c r="E13">
        <v>10</v>
      </c>
      <c r="F13">
        <v>1.5</v>
      </c>
    </row>
    <row r="14" spans="1:9" x14ac:dyDescent="0.55000000000000004">
      <c r="D14" t="s">
        <v>264</v>
      </c>
      <c r="E14">
        <v>10</v>
      </c>
      <c r="F14">
        <v>1.5</v>
      </c>
    </row>
    <row r="15" spans="1:9" x14ac:dyDescent="0.55000000000000004">
      <c r="A15" t="s">
        <v>130</v>
      </c>
      <c r="B15">
        <v>60</v>
      </c>
      <c r="C15">
        <f>F15+F16+F17+F18+F19</f>
        <v>4</v>
      </c>
      <c r="D15" t="s">
        <v>266</v>
      </c>
      <c r="E15">
        <v>10</v>
      </c>
      <c r="F15">
        <v>1</v>
      </c>
    </row>
    <row r="16" spans="1:9" x14ac:dyDescent="0.55000000000000004">
      <c r="D16" t="s">
        <v>267</v>
      </c>
      <c r="E16">
        <v>10</v>
      </c>
      <c r="F16">
        <v>1.5</v>
      </c>
    </row>
    <row r="17" spans="1:9" x14ac:dyDescent="0.55000000000000004">
      <c r="D17" t="s">
        <v>268</v>
      </c>
      <c r="E17">
        <v>10</v>
      </c>
      <c r="F17">
        <v>0.375</v>
      </c>
    </row>
    <row r="18" spans="1:9" x14ac:dyDescent="0.55000000000000004">
      <c r="D18" t="s">
        <v>269</v>
      </c>
      <c r="E18">
        <v>10</v>
      </c>
      <c r="F18">
        <v>0.375</v>
      </c>
    </row>
    <row r="19" spans="1:9" x14ac:dyDescent="0.55000000000000004">
      <c r="D19" t="s">
        <v>270</v>
      </c>
      <c r="E19">
        <v>10</v>
      </c>
      <c r="F19">
        <v>0.75</v>
      </c>
    </row>
    <row r="20" spans="1:9" x14ac:dyDescent="0.55000000000000004">
      <c r="A20" s="14" t="s">
        <v>261</v>
      </c>
      <c r="B20">
        <v>15</v>
      </c>
      <c r="C20">
        <f>F20</f>
        <v>1</v>
      </c>
      <c r="D20" t="s">
        <v>5</v>
      </c>
      <c r="E20">
        <v>10</v>
      </c>
      <c r="F20">
        <v>1</v>
      </c>
    </row>
    <row r="21" spans="1:9" x14ac:dyDescent="0.55000000000000004">
      <c r="A21" s="14" t="s">
        <v>262</v>
      </c>
      <c r="B21">
        <v>45</v>
      </c>
      <c r="C21">
        <f>F21+F22</f>
        <v>3</v>
      </c>
      <c r="D21" t="s">
        <v>263</v>
      </c>
      <c r="E21">
        <v>10</v>
      </c>
      <c r="F21">
        <v>2</v>
      </c>
    </row>
    <row r="22" spans="1:9" x14ac:dyDescent="0.55000000000000004">
      <c r="D22" t="s">
        <v>264</v>
      </c>
      <c r="E22">
        <v>10</v>
      </c>
      <c r="F22">
        <v>1</v>
      </c>
    </row>
    <row r="24" spans="1:9" x14ac:dyDescent="0.55000000000000004">
      <c r="A24" s="7" t="s">
        <v>207</v>
      </c>
      <c r="B24">
        <f>B25+B28+B31+B32</f>
        <v>90</v>
      </c>
      <c r="C24">
        <f>C25+C28+C31+C32</f>
        <v>7.5</v>
      </c>
      <c r="D24" t="s">
        <v>193</v>
      </c>
      <c r="E24">
        <f>(E25*F25+E26*F26+E27*F27+E28*F28+E29*F29+E30*F30+E31*F31+E32*F32)/(C24)</f>
        <v>10</v>
      </c>
      <c r="G24">
        <f>ROUND(E24,2)</f>
        <v>10</v>
      </c>
      <c r="H24">
        <v>7</v>
      </c>
      <c r="I24">
        <f>IF(G24&gt;=10,H24,0)</f>
        <v>7</v>
      </c>
    </row>
    <row r="25" spans="1:9" x14ac:dyDescent="0.55000000000000004">
      <c r="A25" t="s">
        <v>208</v>
      </c>
      <c r="B25">
        <v>30</v>
      </c>
      <c r="C25">
        <f>F25+F26+F27</f>
        <v>3</v>
      </c>
      <c r="D25" t="s">
        <v>271</v>
      </c>
      <c r="E25">
        <v>10</v>
      </c>
      <c r="F25">
        <v>0.7</v>
      </c>
    </row>
    <row r="26" spans="1:9" x14ac:dyDescent="0.55000000000000004">
      <c r="D26" t="s">
        <v>272</v>
      </c>
      <c r="E26">
        <v>10</v>
      </c>
      <c r="F26">
        <v>1.3</v>
      </c>
    </row>
    <row r="27" spans="1:9" ht="28.8" x14ac:dyDescent="0.55000000000000004">
      <c r="D27" s="12" t="s">
        <v>273</v>
      </c>
      <c r="E27">
        <v>10</v>
      </c>
      <c r="F27">
        <v>1</v>
      </c>
    </row>
    <row r="28" spans="1:9" x14ac:dyDescent="0.55000000000000004">
      <c r="A28" t="s">
        <v>133</v>
      </c>
      <c r="B28">
        <v>30</v>
      </c>
      <c r="C28">
        <f>F28+F29+F30</f>
        <v>2</v>
      </c>
      <c r="D28" t="s">
        <v>274</v>
      </c>
      <c r="E28">
        <v>10</v>
      </c>
      <c r="F28">
        <v>0.8</v>
      </c>
    </row>
    <row r="29" spans="1:9" x14ac:dyDescent="0.55000000000000004">
      <c r="D29" t="s">
        <v>275</v>
      </c>
      <c r="E29">
        <v>10</v>
      </c>
      <c r="F29">
        <v>0.6</v>
      </c>
    </row>
    <row r="30" spans="1:9" x14ac:dyDescent="0.55000000000000004">
      <c r="D30" t="s">
        <v>276</v>
      </c>
      <c r="E30">
        <v>10</v>
      </c>
      <c r="F30">
        <v>0.6</v>
      </c>
    </row>
    <row r="31" spans="1:9" x14ac:dyDescent="0.55000000000000004">
      <c r="A31" t="s">
        <v>47</v>
      </c>
      <c r="B31">
        <v>30</v>
      </c>
      <c r="C31">
        <f>F31</f>
        <v>2</v>
      </c>
      <c r="D31" t="s">
        <v>278</v>
      </c>
      <c r="E31">
        <v>10</v>
      </c>
      <c r="F31">
        <v>2</v>
      </c>
    </row>
    <row r="32" spans="1:9" x14ac:dyDescent="0.55000000000000004">
      <c r="A32" t="s">
        <v>134</v>
      </c>
      <c r="B32">
        <v>0</v>
      </c>
      <c r="C32">
        <f>F32</f>
        <v>0.5</v>
      </c>
      <c r="D32" t="s">
        <v>251</v>
      </c>
      <c r="E32">
        <v>10</v>
      </c>
      <c r="F32">
        <v>0.5</v>
      </c>
    </row>
    <row r="34" spans="1:3" x14ac:dyDescent="0.55000000000000004">
      <c r="A34" s="7" t="s">
        <v>219</v>
      </c>
      <c r="B34">
        <f>B24+B12+B4</f>
        <v>300</v>
      </c>
      <c r="C34">
        <f>C4+C12+C24</f>
        <v>27.5</v>
      </c>
    </row>
    <row r="35" spans="1:3" x14ac:dyDescent="0.55000000000000004">
      <c r="A35" s="7" t="s">
        <v>220</v>
      </c>
      <c r="B35">
        <f>(E24*C24+E12*C12+E4*C4)/C34</f>
        <v>10</v>
      </c>
    </row>
    <row r="36" spans="1:3" x14ac:dyDescent="0.55000000000000004">
      <c r="A36" s="7" t="s">
        <v>221</v>
      </c>
      <c r="B36" s="3">
        <f>(G4*C4+G12*C12+G24*C24)/(C4+C12+C24)</f>
        <v>10</v>
      </c>
    </row>
    <row r="37" spans="1:3" x14ac:dyDescent="0.55000000000000004">
      <c r="A37" s="7" t="s">
        <v>280</v>
      </c>
      <c r="B37">
        <f>H4+H12+H24</f>
        <v>30</v>
      </c>
    </row>
    <row r="38" spans="1:3" x14ac:dyDescent="0.55000000000000004">
      <c r="A38" s="7" t="s">
        <v>281</v>
      </c>
      <c r="B38">
        <f>I4+I12+I24</f>
        <v>30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A9538-08E9-4675-A554-7302A42C52FB}">
  <dimension ref="A1:G1"/>
  <sheetViews>
    <sheetView workbookViewId="0">
      <selection activeCell="B2" sqref="B2"/>
    </sheetView>
  </sheetViews>
  <sheetFormatPr baseColWidth="10" defaultRowHeight="14.4" x14ac:dyDescent="0.55000000000000004"/>
  <cols>
    <col min="2" max="2" width="51.20703125" bestFit="1" customWidth="1"/>
    <col min="4" max="4" width="10.734375" bestFit="1" customWidth="1"/>
    <col min="5" max="5" width="12.9453125" bestFit="1" customWidth="1"/>
    <col min="6" max="6" width="13.734375" bestFit="1" customWidth="1"/>
    <col min="7" max="7" width="43.8398437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4D4CCEB-477C-405D-9A72-C875EFEBE664}">
          <x14:formula1>
            <xm:f>'Menus déroulants'!$I$2:$I$22</xm:f>
          </x14:formula1>
          <xm:sqref>B2:B50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28F8-B7FA-4F91-A9BC-D31C0485A41D}">
  <dimension ref="A1:I38"/>
  <sheetViews>
    <sheetView topLeftCell="A8" zoomScale="70" zoomScaleNormal="70" workbookViewId="0">
      <selection activeCell="A11" sqref="A11"/>
    </sheetView>
  </sheetViews>
  <sheetFormatPr baseColWidth="10" defaultRowHeight="14.4" x14ac:dyDescent="0.55000000000000004"/>
  <cols>
    <col min="1" max="1" width="34.20703125" bestFit="1" customWidth="1"/>
    <col min="2" max="2" width="10.41796875" bestFit="1" customWidth="1"/>
    <col min="3" max="3" width="6.83984375" bestFit="1" customWidth="1"/>
    <col min="4" max="4" width="32.83984375" bestFit="1" customWidth="1"/>
    <col min="5" max="5" width="8" bestFit="1" customWidth="1"/>
    <col min="6" max="6" width="6.9453125" bestFit="1" customWidth="1"/>
    <col min="7" max="7" width="11.05078125" bestFit="1" customWidth="1"/>
    <col min="8" max="8" width="18.3125" bestFit="1" customWidth="1"/>
    <col min="9" max="9" width="17.83984375" customWidth="1"/>
  </cols>
  <sheetData>
    <row r="1" spans="1:9" ht="26.4" x14ac:dyDescent="1">
      <c r="A1" s="6" t="s">
        <v>188</v>
      </c>
      <c r="B1" s="7"/>
    </row>
    <row r="2" spans="1:9" ht="37.5" customHeight="1" x14ac:dyDescent="0.75">
      <c r="A2" s="8" t="s">
        <v>189</v>
      </c>
      <c r="B2" s="9" t="s">
        <v>296</v>
      </c>
      <c r="C2" s="9" t="s">
        <v>297</v>
      </c>
      <c r="D2" s="8"/>
      <c r="E2" s="8" t="s">
        <v>191</v>
      </c>
      <c r="F2" s="9" t="s">
        <v>298</v>
      </c>
      <c r="G2" s="9" t="s">
        <v>295</v>
      </c>
      <c r="H2" s="9" t="s">
        <v>282</v>
      </c>
      <c r="I2" s="9" t="s">
        <v>286</v>
      </c>
    </row>
    <row r="4" spans="1:9" x14ac:dyDescent="0.55000000000000004">
      <c r="A4" s="7" t="s">
        <v>243</v>
      </c>
      <c r="B4">
        <f>B5+B6+B7</f>
        <v>75</v>
      </c>
      <c r="C4">
        <f>C5+C6+C7</f>
        <v>5</v>
      </c>
      <c r="D4" t="s">
        <v>193</v>
      </c>
      <c r="E4">
        <f>(E5*F5+E6*F6+E7*F7)/(C4)</f>
        <v>10</v>
      </c>
      <c r="G4">
        <f>ROUND(E4, 2)</f>
        <v>10</v>
      </c>
      <c r="H4">
        <v>4</v>
      </c>
      <c r="I4">
        <f>IF(G4&gt;=10,H4,0)</f>
        <v>4</v>
      </c>
    </row>
    <row r="5" spans="1:9" x14ac:dyDescent="0.55000000000000004">
      <c r="A5" t="s">
        <v>38</v>
      </c>
      <c r="B5">
        <v>30</v>
      </c>
      <c r="C5">
        <v>2</v>
      </c>
      <c r="D5" t="s">
        <v>5</v>
      </c>
      <c r="E5">
        <v>10</v>
      </c>
      <c r="F5">
        <v>2</v>
      </c>
    </row>
    <row r="6" spans="1:9" x14ac:dyDescent="0.55000000000000004">
      <c r="A6" t="s">
        <v>244</v>
      </c>
      <c r="B6">
        <v>30</v>
      </c>
      <c r="C6">
        <v>2</v>
      </c>
      <c r="D6" t="s">
        <v>5</v>
      </c>
      <c r="E6">
        <v>10</v>
      </c>
      <c r="F6">
        <v>2</v>
      </c>
    </row>
    <row r="7" spans="1:9" x14ac:dyDescent="0.55000000000000004">
      <c r="A7" t="s">
        <v>136</v>
      </c>
      <c r="B7">
        <v>15</v>
      </c>
      <c r="C7">
        <v>1</v>
      </c>
      <c r="D7" t="s">
        <v>5</v>
      </c>
      <c r="E7">
        <v>10</v>
      </c>
      <c r="F7">
        <v>1</v>
      </c>
    </row>
    <row r="9" spans="1:9" x14ac:dyDescent="0.55000000000000004">
      <c r="A9" s="7" t="str">
        <f>IF('Read me'!B4&lt;&gt;"CIR","Analyse de données","Outil numérique")</f>
        <v>Analyse de données</v>
      </c>
      <c r="B9">
        <f>B11+B10+B12</f>
        <v>60</v>
      </c>
      <c r="C9">
        <f>C11+C10+C12</f>
        <v>4</v>
      </c>
      <c r="D9" t="s">
        <v>193</v>
      </c>
      <c r="E9">
        <f>(E11*F11+E10*F10+E12*F12)/(C9)</f>
        <v>10</v>
      </c>
      <c r="G9">
        <f>ROUND(E9, 2)</f>
        <v>10</v>
      </c>
      <c r="H9">
        <v>5</v>
      </c>
      <c r="I9">
        <f>IF(G9&gt;=10,H9,0)</f>
        <v>5</v>
      </c>
    </row>
    <row r="10" spans="1:9" x14ac:dyDescent="0.55000000000000004">
      <c r="A10" t="s">
        <v>137</v>
      </c>
      <c r="B10">
        <v>15</v>
      </c>
      <c r="C10">
        <v>1</v>
      </c>
      <c r="D10" t="s">
        <v>5</v>
      </c>
      <c r="E10">
        <v>10</v>
      </c>
      <c r="F10">
        <v>1</v>
      </c>
    </row>
    <row r="11" spans="1:9" x14ac:dyDescent="0.55000000000000004">
      <c r="A11" t="str">
        <f>IF('Read me'!B4&lt;&gt;"CIR","Base de données",IF('Read me'!B3="Brest","Framework",IF('Read me'!B3="Nantes","Programmation linéaire",IF('Read me'!B3="Caen","Design pattern","autre"))))</f>
        <v>Base de données</v>
      </c>
      <c r="B11">
        <v>15</v>
      </c>
      <c r="C11">
        <v>1</v>
      </c>
      <c r="D11" t="s">
        <v>5</v>
      </c>
      <c r="E11">
        <v>10</v>
      </c>
      <c r="F11">
        <v>1</v>
      </c>
    </row>
    <row r="12" spans="1:9" x14ac:dyDescent="0.55000000000000004">
      <c r="A12" t="str">
        <f>IF('Read me'!B4&lt;&gt;"CIR","DEV WEB","Admin Linux")</f>
        <v>DEV WEB</v>
      </c>
      <c r="B12">
        <v>30</v>
      </c>
      <c r="C12">
        <v>2</v>
      </c>
      <c r="D12" t="s">
        <v>5</v>
      </c>
      <c r="E12">
        <v>10</v>
      </c>
      <c r="F12">
        <v>2</v>
      </c>
    </row>
    <row r="14" spans="1:9" x14ac:dyDescent="0.55000000000000004">
      <c r="A14" s="7" t="s">
        <v>207</v>
      </c>
      <c r="B14">
        <f>B15+B18+B20+B21</f>
        <v>90</v>
      </c>
      <c r="C14">
        <f>C15+C18+C20</f>
        <v>6</v>
      </c>
      <c r="D14" t="s">
        <v>193</v>
      </c>
      <c r="E14">
        <f>(E15*F15+E16*F16+E17*F17+E18*F18+E19*F19+E20*F20+E21*F21)/(F15+F16+F17+F18+F19+F20+F21)</f>
        <v>10</v>
      </c>
      <c r="G14">
        <f>ROUND(E14,2)</f>
        <v>10</v>
      </c>
      <c r="H14">
        <v>6</v>
      </c>
      <c r="I14">
        <f>IF(G14&gt;=10,H14,0)</f>
        <v>6</v>
      </c>
    </row>
    <row r="15" spans="1:9" x14ac:dyDescent="0.55000000000000004">
      <c r="A15" t="s">
        <v>245</v>
      </c>
      <c r="B15">
        <v>45</v>
      </c>
      <c r="C15">
        <v>3</v>
      </c>
      <c r="D15" t="s">
        <v>246</v>
      </c>
      <c r="E15">
        <v>10</v>
      </c>
      <c r="F15">
        <v>1</v>
      </c>
    </row>
    <row r="16" spans="1:9" x14ac:dyDescent="0.55000000000000004">
      <c r="D16" t="s">
        <v>247</v>
      </c>
      <c r="E16">
        <v>10</v>
      </c>
      <c r="F16">
        <v>2</v>
      </c>
    </row>
    <row r="17" spans="1:9" x14ac:dyDescent="0.55000000000000004">
      <c r="D17" t="s">
        <v>248</v>
      </c>
      <c r="E17">
        <v>10</v>
      </c>
      <c r="F17">
        <v>0.5</v>
      </c>
    </row>
    <row r="18" spans="1:9" x14ac:dyDescent="0.55000000000000004">
      <c r="A18" t="s">
        <v>141</v>
      </c>
      <c r="B18">
        <v>30</v>
      </c>
      <c r="C18">
        <v>2</v>
      </c>
      <c r="D18" t="s">
        <v>249</v>
      </c>
      <c r="E18">
        <v>10</v>
      </c>
      <c r="F18">
        <v>1</v>
      </c>
    </row>
    <row r="19" spans="1:9" x14ac:dyDescent="0.55000000000000004">
      <c r="D19" t="s">
        <v>250</v>
      </c>
      <c r="E19">
        <v>10</v>
      </c>
      <c r="F19">
        <v>1</v>
      </c>
    </row>
    <row r="20" spans="1:9" x14ac:dyDescent="0.55000000000000004">
      <c r="A20" t="s">
        <v>47</v>
      </c>
      <c r="B20">
        <v>15</v>
      </c>
      <c r="C20">
        <v>1</v>
      </c>
      <c r="D20" t="s">
        <v>5</v>
      </c>
      <c r="E20">
        <v>10</v>
      </c>
      <c r="F20">
        <v>1</v>
      </c>
    </row>
    <row r="21" spans="1:9" x14ac:dyDescent="0.55000000000000004">
      <c r="A21" t="s">
        <v>134</v>
      </c>
      <c r="B21">
        <v>0</v>
      </c>
      <c r="C21">
        <v>0.5</v>
      </c>
      <c r="D21" t="s">
        <v>251</v>
      </c>
      <c r="E21">
        <v>10</v>
      </c>
      <c r="F21">
        <v>0.5</v>
      </c>
    </row>
    <row r="23" spans="1:9" x14ac:dyDescent="0.55000000000000004">
      <c r="A23" s="7" t="s">
        <v>252</v>
      </c>
      <c r="B23">
        <f>B24+B25+B26</f>
        <v>90</v>
      </c>
      <c r="C23">
        <f>C24+C25+C26</f>
        <v>6</v>
      </c>
      <c r="D23" t="s">
        <v>193</v>
      </c>
      <c r="E23">
        <f>(E24*F24+E25*F25+E26*F26)/(C23)</f>
        <v>10</v>
      </c>
      <c r="G23">
        <f>ROUND(E23,2)</f>
        <v>10</v>
      </c>
      <c r="H23">
        <v>7</v>
      </c>
      <c r="I23">
        <f>IF(G23&gt;=10,H23,0)</f>
        <v>7</v>
      </c>
    </row>
    <row r="24" spans="1:9" x14ac:dyDescent="0.55000000000000004">
      <c r="A24" t="s">
        <v>253</v>
      </c>
      <c r="B24">
        <v>30</v>
      </c>
      <c r="C24">
        <v>2</v>
      </c>
      <c r="D24" t="s">
        <v>5</v>
      </c>
      <c r="E24">
        <v>10</v>
      </c>
      <c r="F24">
        <v>2</v>
      </c>
    </row>
    <row r="25" spans="1:9" x14ac:dyDescent="0.55000000000000004">
      <c r="A25" t="s">
        <v>130</v>
      </c>
      <c r="B25">
        <v>30</v>
      </c>
      <c r="C25">
        <v>2</v>
      </c>
      <c r="D25" t="s">
        <v>5</v>
      </c>
      <c r="E25">
        <v>10</v>
      </c>
      <c r="F25">
        <v>2</v>
      </c>
    </row>
    <row r="26" spans="1:9" x14ac:dyDescent="0.55000000000000004">
      <c r="A26" t="s">
        <v>254</v>
      </c>
      <c r="B26">
        <v>30</v>
      </c>
      <c r="C26">
        <v>2</v>
      </c>
      <c r="D26" t="s">
        <v>5</v>
      </c>
      <c r="E26">
        <v>10</v>
      </c>
      <c r="F26">
        <v>2</v>
      </c>
    </row>
    <row r="28" spans="1:9" x14ac:dyDescent="0.55000000000000004">
      <c r="A28" s="7" t="s">
        <v>255</v>
      </c>
      <c r="B28">
        <f>B29+B30+B31+B32</f>
        <v>120</v>
      </c>
      <c r="C28">
        <f>C29+C30+C31+C32</f>
        <v>8</v>
      </c>
      <c r="D28" t="s">
        <v>193</v>
      </c>
      <c r="E28">
        <f>(E29*F29+E30*F30+E31*F31+E32*F32)/(C28)</f>
        <v>10</v>
      </c>
      <c r="G28">
        <f>ROUND(E28,2)</f>
        <v>10</v>
      </c>
      <c r="H28">
        <v>8</v>
      </c>
      <c r="I28">
        <f>IF(G28&gt;=10,H28,0)</f>
        <v>8</v>
      </c>
    </row>
    <row r="29" spans="1:9" x14ac:dyDescent="0.55000000000000004">
      <c r="A29" t="s">
        <v>136</v>
      </c>
      <c r="B29">
        <v>30</v>
      </c>
      <c r="C29">
        <v>2</v>
      </c>
      <c r="D29" t="s">
        <v>5</v>
      </c>
      <c r="E29">
        <v>10</v>
      </c>
      <c r="F29">
        <v>2</v>
      </c>
    </row>
    <row r="30" spans="1:9" x14ac:dyDescent="0.55000000000000004">
      <c r="A30" t="s">
        <v>137</v>
      </c>
      <c r="B30">
        <v>30</v>
      </c>
      <c r="C30">
        <v>2</v>
      </c>
      <c r="D30" t="s">
        <v>5</v>
      </c>
      <c r="E30">
        <v>10</v>
      </c>
      <c r="F30">
        <v>2</v>
      </c>
    </row>
    <row r="31" spans="1:9" x14ac:dyDescent="0.55000000000000004">
      <c r="A31" t="s">
        <v>256</v>
      </c>
      <c r="B31">
        <v>30</v>
      </c>
      <c r="C31">
        <v>2</v>
      </c>
      <c r="D31" t="s">
        <v>5</v>
      </c>
      <c r="E31">
        <v>10</v>
      </c>
      <c r="F31">
        <v>2</v>
      </c>
    </row>
    <row r="32" spans="1:9" x14ac:dyDescent="0.55000000000000004">
      <c r="A32" t="s">
        <v>257</v>
      </c>
      <c r="B32">
        <v>30</v>
      </c>
      <c r="C32">
        <v>2</v>
      </c>
      <c r="D32" t="s">
        <v>5</v>
      </c>
      <c r="E32">
        <v>10</v>
      </c>
      <c r="F32">
        <v>2</v>
      </c>
    </row>
    <row r="34" spans="1:3" x14ac:dyDescent="0.55000000000000004">
      <c r="A34" s="7" t="s">
        <v>219</v>
      </c>
      <c r="B34">
        <f>B28+B23+B14+B9+B4</f>
        <v>435</v>
      </c>
      <c r="C34">
        <f>C28+C23+C14+C9+C4</f>
        <v>29</v>
      </c>
    </row>
    <row r="35" spans="1:3" x14ac:dyDescent="0.55000000000000004">
      <c r="A35" s="7" t="s">
        <v>220</v>
      </c>
      <c r="B35">
        <f>(E4*C4+E9*C9+E14*C14+E23*C23+E28*C28)/C34</f>
        <v>10</v>
      </c>
    </row>
    <row r="36" spans="1:3" x14ac:dyDescent="0.55000000000000004">
      <c r="A36" s="7" t="s">
        <v>221</v>
      </c>
      <c r="B36" s="3">
        <f>ROUND(B35,2)</f>
        <v>10</v>
      </c>
    </row>
    <row r="37" spans="1:3" x14ac:dyDescent="0.55000000000000004">
      <c r="A37" s="7" t="s">
        <v>280</v>
      </c>
      <c r="B37">
        <f>H4+H9+H14+H23+H28</f>
        <v>30</v>
      </c>
    </row>
    <row r="38" spans="1:3" x14ac:dyDescent="0.55000000000000004">
      <c r="A38" s="7" t="s">
        <v>281</v>
      </c>
      <c r="B38">
        <f>I4+I9+I14+I23+I28</f>
        <v>30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60FE6-E029-4300-B9D4-0D31EDB2E78F}">
  <dimension ref="A1:G1"/>
  <sheetViews>
    <sheetView workbookViewId="0">
      <selection activeCell="F6" sqref="F6"/>
    </sheetView>
  </sheetViews>
  <sheetFormatPr baseColWidth="10" defaultRowHeight="14.4" x14ac:dyDescent="0.55000000000000004"/>
  <cols>
    <col min="2" max="2" width="23.89453125" bestFit="1" customWidth="1"/>
    <col min="4" max="4" width="10.734375" bestFit="1" customWidth="1"/>
    <col min="5" max="5" width="12.9453125" bestFit="1" customWidth="1"/>
    <col min="6" max="6" width="13.734375" bestFit="1" customWidth="1"/>
    <col min="7" max="7" width="43.6835937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59A58C4-887B-447D-8FDA-8D18C254A0C4}">
          <x14:formula1>
            <xm:f>'Menus déroulants'!$J$2:$J$13</xm:f>
          </x14:formula1>
          <xm:sqref>B2:B50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01654-16B6-483E-8D72-B459704D0CFF}">
  <dimension ref="A1:J36"/>
  <sheetViews>
    <sheetView topLeftCell="A12" zoomScale="80" zoomScaleNormal="80" workbookViewId="0">
      <selection activeCell="E21" sqref="E21"/>
    </sheetView>
  </sheetViews>
  <sheetFormatPr baseColWidth="10" defaultRowHeight="14.4" x14ac:dyDescent="0.55000000000000004"/>
  <cols>
    <col min="1" max="1" width="33.3671875" bestFit="1" customWidth="1"/>
    <col min="2" max="2" width="14.9453125" bestFit="1" customWidth="1"/>
    <col min="3" max="3" width="6.9453125" bestFit="1" customWidth="1"/>
    <col min="4" max="4" width="21.26171875" bestFit="1" customWidth="1"/>
    <col min="5" max="5" width="7.9453125" bestFit="1" customWidth="1"/>
    <col min="6" max="6" width="6.83984375" bestFit="1" customWidth="1"/>
    <col min="7" max="7" width="10.89453125" bestFit="1" customWidth="1"/>
    <col min="8" max="8" width="18.3125" bestFit="1" customWidth="1"/>
    <col min="9" max="9" width="17.9453125" bestFit="1" customWidth="1"/>
  </cols>
  <sheetData>
    <row r="1" spans="1:10" ht="26.4" x14ac:dyDescent="1">
      <c r="A1" s="6" t="s">
        <v>223</v>
      </c>
      <c r="B1" s="7"/>
    </row>
    <row r="2" spans="1:10" ht="58.5" x14ac:dyDescent="0.75">
      <c r="A2" s="8" t="s">
        <v>189</v>
      </c>
      <c r="B2" s="8" t="s">
        <v>190</v>
      </c>
      <c r="C2" s="9" t="s">
        <v>297</v>
      </c>
      <c r="D2" s="8"/>
      <c r="E2" s="8" t="s">
        <v>191</v>
      </c>
      <c r="F2" s="9" t="s">
        <v>298</v>
      </c>
      <c r="G2" s="9" t="s">
        <v>295</v>
      </c>
      <c r="H2" s="9" t="s">
        <v>282</v>
      </c>
      <c r="I2" s="9" t="s">
        <v>286</v>
      </c>
      <c r="J2" s="9"/>
    </row>
    <row r="4" spans="1:10" x14ac:dyDescent="0.55000000000000004">
      <c r="A4" s="7" t="s">
        <v>192</v>
      </c>
      <c r="B4">
        <f>B5+B8+B9+B10+B12</f>
        <v>150</v>
      </c>
      <c r="C4">
        <f>C5+C8+C9+C10+C12+5</f>
        <v>15</v>
      </c>
      <c r="D4" t="s">
        <v>193</v>
      </c>
      <c r="E4">
        <f>((C5/(F5+F6+F7))*(E5*F5+E6*F6+E7*F7)+E8*F8+E9*F9+E10*F10+E11*F11+E12*F12)/(C5+C8+C9+C10+C12)</f>
        <v>10</v>
      </c>
      <c r="G4">
        <f>ROUND(E4, 2)</f>
        <v>10</v>
      </c>
      <c r="H4">
        <v>15</v>
      </c>
      <c r="I4">
        <f>IF(G4&gt;=10,H4,0)</f>
        <v>15</v>
      </c>
    </row>
    <row r="5" spans="1:10" x14ac:dyDescent="0.55000000000000004">
      <c r="A5" t="s">
        <v>194</v>
      </c>
      <c r="B5">
        <v>60</v>
      </c>
      <c r="C5">
        <v>4</v>
      </c>
      <c r="D5" t="s">
        <v>195</v>
      </c>
      <c r="E5">
        <v>10</v>
      </c>
      <c r="F5">
        <v>1.5</v>
      </c>
    </row>
    <row r="6" spans="1:10" x14ac:dyDescent="0.55000000000000004">
      <c r="D6" t="s">
        <v>196</v>
      </c>
      <c r="E6">
        <v>10</v>
      </c>
      <c r="F6">
        <v>1.5</v>
      </c>
    </row>
    <row r="7" spans="1:10" x14ac:dyDescent="0.55000000000000004">
      <c r="D7" t="s">
        <v>197</v>
      </c>
      <c r="E7">
        <v>10</v>
      </c>
      <c r="F7">
        <v>2</v>
      </c>
    </row>
    <row r="8" spans="1:10" x14ac:dyDescent="0.55000000000000004">
      <c r="A8" t="s">
        <v>154</v>
      </c>
      <c r="B8">
        <v>15</v>
      </c>
      <c r="C8">
        <v>1</v>
      </c>
      <c r="D8" t="s">
        <v>198</v>
      </c>
      <c r="E8">
        <v>10</v>
      </c>
      <c r="F8">
        <v>1</v>
      </c>
    </row>
    <row r="9" spans="1:10" x14ac:dyDescent="0.55000000000000004">
      <c r="A9" t="s">
        <v>155</v>
      </c>
      <c r="B9">
        <v>15</v>
      </c>
      <c r="C9">
        <v>1</v>
      </c>
      <c r="D9" t="s">
        <v>198</v>
      </c>
      <c r="E9">
        <v>10</v>
      </c>
      <c r="F9">
        <v>1</v>
      </c>
    </row>
    <row r="10" spans="1:10" x14ac:dyDescent="0.55000000000000004">
      <c r="A10" t="s">
        <v>199</v>
      </c>
      <c r="B10">
        <v>30</v>
      </c>
      <c r="C10">
        <v>2</v>
      </c>
      <c r="D10" t="s">
        <v>198</v>
      </c>
      <c r="E10">
        <v>10</v>
      </c>
      <c r="F10">
        <v>1</v>
      </c>
    </row>
    <row r="11" spans="1:10" x14ac:dyDescent="0.55000000000000004">
      <c r="D11" t="s">
        <v>200</v>
      </c>
      <c r="E11">
        <v>10</v>
      </c>
      <c r="F11">
        <v>1</v>
      </c>
    </row>
    <row r="12" spans="1:10" x14ac:dyDescent="0.55000000000000004">
      <c r="A12" t="s">
        <v>157</v>
      </c>
      <c r="B12">
        <v>30</v>
      </c>
      <c r="C12">
        <v>2</v>
      </c>
      <c r="D12" t="s">
        <v>198</v>
      </c>
      <c r="E12">
        <v>10</v>
      </c>
      <c r="F12">
        <f>C12</f>
        <v>2</v>
      </c>
    </row>
    <row r="14" spans="1:10" x14ac:dyDescent="0.55000000000000004">
      <c r="A14" s="7" t="s">
        <v>201</v>
      </c>
      <c r="B14">
        <f>B15+B16+B17+B18</f>
        <v>90</v>
      </c>
      <c r="C14">
        <f>C15+C16+C17+C18+2</f>
        <v>8</v>
      </c>
      <c r="D14" t="s">
        <v>193</v>
      </c>
      <c r="E14">
        <f>(E15*F15+E16*F16+E17*F17+E18*F18)/(F15+F16+F17+F18)</f>
        <v>10</v>
      </c>
      <c r="G14">
        <f>ROUND(E14, 2)</f>
        <v>10</v>
      </c>
      <c r="H14">
        <v>8</v>
      </c>
      <c r="I14">
        <f>IF(G14&gt;=10,H14,0)</f>
        <v>8</v>
      </c>
    </row>
    <row r="15" spans="1:10" x14ac:dyDescent="0.55000000000000004">
      <c r="A15" t="s">
        <v>202</v>
      </c>
      <c r="B15">
        <v>15</v>
      </c>
      <c r="C15">
        <v>1</v>
      </c>
      <c r="D15" t="s">
        <v>203</v>
      </c>
      <c r="E15">
        <v>10</v>
      </c>
      <c r="F15">
        <f>C15</f>
        <v>1</v>
      </c>
    </row>
    <row r="16" spans="1:10" x14ac:dyDescent="0.55000000000000004">
      <c r="A16" t="s">
        <v>204</v>
      </c>
      <c r="B16">
        <v>30</v>
      </c>
      <c r="C16">
        <v>2</v>
      </c>
      <c r="D16" t="s">
        <v>205</v>
      </c>
      <c r="E16">
        <v>10</v>
      </c>
      <c r="F16">
        <f>C16</f>
        <v>2</v>
      </c>
    </row>
    <row r="17" spans="1:9" x14ac:dyDescent="0.55000000000000004">
      <c r="A17" t="s">
        <v>160</v>
      </c>
      <c r="B17">
        <v>15</v>
      </c>
      <c r="C17">
        <v>1</v>
      </c>
      <c r="D17" t="s">
        <v>206</v>
      </c>
      <c r="E17">
        <v>10</v>
      </c>
      <c r="F17">
        <f>C17</f>
        <v>1</v>
      </c>
    </row>
    <row r="18" spans="1:9" x14ac:dyDescent="0.55000000000000004">
      <c r="A18" t="s">
        <v>161</v>
      </c>
      <c r="B18">
        <v>30</v>
      </c>
      <c r="C18">
        <v>2</v>
      </c>
      <c r="D18" t="s">
        <v>198</v>
      </c>
      <c r="E18">
        <v>10</v>
      </c>
      <c r="F18">
        <f>C18</f>
        <v>2</v>
      </c>
    </row>
    <row r="20" spans="1:9" x14ac:dyDescent="0.55000000000000004">
      <c r="A20" s="7" t="s">
        <v>207</v>
      </c>
      <c r="B20">
        <f>B21+B24+B28+B30</f>
        <v>60</v>
      </c>
      <c r="C20">
        <f>C21+C24+C28+1</f>
        <v>7</v>
      </c>
      <c r="D20" t="s">
        <v>193</v>
      </c>
      <c r="E20">
        <f>(E21*F21+E22*F22+E23*F23+E24*F24+E25*F25+E26*F26+E27*F27+E28*F28+E30*F30)/(F21+F22+F23+F24+F25+F26+F27+F28+F30)</f>
        <v>10</v>
      </c>
      <c r="G20">
        <f>ROUND(E20,2)</f>
        <v>10</v>
      </c>
      <c r="H20">
        <v>7</v>
      </c>
      <c r="I20">
        <f>IF(G20&gt;=10,H20,0)</f>
        <v>7</v>
      </c>
    </row>
    <row r="21" spans="1:9" x14ac:dyDescent="0.55000000000000004">
      <c r="A21" t="s">
        <v>208</v>
      </c>
      <c r="B21">
        <v>20</v>
      </c>
      <c r="C21">
        <v>2</v>
      </c>
      <c r="D21" t="s">
        <v>209</v>
      </c>
      <c r="E21">
        <v>10</v>
      </c>
      <c r="F21">
        <f>C$21/3</f>
        <v>0.66666666666666663</v>
      </c>
    </row>
    <row r="22" spans="1:9" x14ac:dyDescent="0.55000000000000004">
      <c r="D22" t="s">
        <v>210</v>
      </c>
      <c r="E22" s="10">
        <v>10</v>
      </c>
      <c r="F22">
        <f>C$21/3</f>
        <v>0.66666666666666663</v>
      </c>
      <c r="H22" s="10"/>
    </row>
    <row r="23" spans="1:9" x14ac:dyDescent="0.55000000000000004">
      <c r="D23" t="s">
        <v>211</v>
      </c>
      <c r="E23">
        <v>10</v>
      </c>
      <c r="F23">
        <f>C$21/3</f>
        <v>0.66666666666666663</v>
      </c>
    </row>
    <row r="24" spans="1:9" x14ac:dyDescent="0.55000000000000004">
      <c r="A24" t="s">
        <v>212</v>
      </c>
      <c r="B24">
        <v>20</v>
      </c>
      <c r="C24">
        <v>2</v>
      </c>
      <c r="D24" t="s">
        <v>213</v>
      </c>
      <c r="E24">
        <v>10</v>
      </c>
      <c r="F24">
        <f>C$24/4</f>
        <v>0.5</v>
      </c>
    </row>
    <row r="25" spans="1:9" x14ac:dyDescent="0.55000000000000004">
      <c r="D25" t="s">
        <v>214</v>
      </c>
      <c r="E25">
        <v>10</v>
      </c>
      <c r="F25">
        <f t="shared" ref="F25:F27" si="0">C$24/4</f>
        <v>0.5</v>
      </c>
    </row>
    <row r="26" spans="1:9" x14ac:dyDescent="0.55000000000000004">
      <c r="D26" t="s">
        <v>215</v>
      </c>
      <c r="E26">
        <v>10</v>
      </c>
      <c r="F26">
        <f t="shared" si="0"/>
        <v>0.5</v>
      </c>
    </row>
    <row r="27" spans="1:9" x14ac:dyDescent="0.55000000000000004">
      <c r="D27" t="s">
        <v>216</v>
      </c>
      <c r="E27">
        <v>10</v>
      </c>
      <c r="F27">
        <f t="shared" si="0"/>
        <v>0.5</v>
      </c>
    </row>
    <row r="28" spans="1:9" x14ac:dyDescent="0.55000000000000004">
      <c r="A28" t="s">
        <v>47</v>
      </c>
      <c r="B28">
        <v>20</v>
      </c>
      <c r="C28">
        <v>2</v>
      </c>
      <c r="D28" t="s">
        <v>5</v>
      </c>
      <c r="E28">
        <v>10</v>
      </c>
      <c r="F28">
        <v>1</v>
      </c>
    </row>
    <row r="29" spans="1:9" x14ac:dyDescent="0.55000000000000004">
      <c r="D29" t="s">
        <v>217</v>
      </c>
      <c r="E29">
        <v>495</v>
      </c>
      <c r="F29">
        <v>0</v>
      </c>
    </row>
    <row r="30" spans="1:9" x14ac:dyDescent="0.55000000000000004">
      <c r="A30" t="s">
        <v>218</v>
      </c>
      <c r="B30">
        <v>0</v>
      </c>
      <c r="C30">
        <v>0.5</v>
      </c>
      <c r="D30" t="s">
        <v>218</v>
      </c>
      <c r="E30">
        <v>10</v>
      </c>
      <c r="F30">
        <v>0.5</v>
      </c>
    </row>
    <row r="32" spans="1:9" x14ac:dyDescent="0.55000000000000004">
      <c r="A32" s="7" t="s">
        <v>219</v>
      </c>
      <c r="B32">
        <f>B4+B14+B20</f>
        <v>300</v>
      </c>
      <c r="C32">
        <f>C20+C14+C4</f>
        <v>30</v>
      </c>
    </row>
    <row r="33" spans="1:2" x14ac:dyDescent="0.55000000000000004">
      <c r="A33" s="7" t="s">
        <v>220</v>
      </c>
      <c r="B33">
        <f>(G4*C4+G14*C14+G20*C20)/C32</f>
        <v>10</v>
      </c>
    </row>
    <row r="34" spans="1:2" x14ac:dyDescent="0.55000000000000004">
      <c r="A34" s="7" t="s">
        <v>221</v>
      </c>
      <c r="B34" s="3">
        <f>ROUND(B33,2)</f>
        <v>10</v>
      </c>
    </row>
    <row r="35" spans="1:2" x14ac:dyDescent="0.55000000000000004">
      <c r="A35" s="7" t="s">
        <v>280</v>
      </c>
      <c r="B35">
        <f>H4+H14+H20</f>
        <v>30</v>
      </c>
    </row>
    <row r="36" spans="1:2" x14ac:dyDescent="0.55000000000000004">
      <c r="A36" s="7" t="s">
        <v>281</v>
      </c>
      <c r="B36">
        <f>I4+I14+I20</f>
        <v>30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BEA51-4388-4740-A73F-BEBCFE63F5EA}">
  <dimension ref="A1:G1"/>
  <sheetViews>
    <sheetView workbookViewId="0">
      <selection activeCell="B2" sqref="B2"/>
    </sheetView>
  </sheetViews>
  <sheetFormatPr baseColWidth="10" defaultRowHeight="14.4" x14ac:dyDescent="0.55000000000000004"/>
  <cols>
    <col min="2" max="2" width="32.9453125" bestFit="1" customWidth="1"/>
    <col min="4" max="4" width="10.734375" bestFit="1" customWidth="1"/>
    <col min="5" max="5" width="12.9453125" bestFit="1" customWidth="1"/>
    <col min="6" max="6" width="13.734375" bestFit="1" customWidth="1"/>
    <col min="7" max="7" width="44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78E12-6EAC-49DB-A9DC-4BF107281B4D}">
          <x14:formula1>
            <xm:f>'Menus déroulants'!$K$2:$K$9</xm:f>
          </x14:formula1>
          <xm:sqref>B2:B50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A0C06-A329-4A28-B37A-6AA9315D2ED6}">
  <dimension ref="A1:I22"/>
  <sheetViews>
    <sheetView topLeftCell="A2" zoomScale="85" zoomScaleNormal="85" workbookViewId="0">
      <selection activeCell="G3" sqref="G3"/>
    </sheetView>
  </sheetViews>
  <sheetFormatPr baseColWidth="10" defaultRowHeight="14.4" x14ac:dyDescent="0.55000000000000004"/>
  <cols>
    <col min="1" max="1" width="33.3671875" bestFit="1" customWidth="1"/>
    <col min="2" max="2" width="15.41796875" bestFit="1" customWidth="1"/>
    <col min="3" max="3" width="7" bestFit="1" customWidth="1"/>
    <col min="4" max="4" width="11.41796875" bestFit="1" customWidth="1"/>
    <col min="5" max="5" width="8.1015625" bestFit="1" customWidth="1"/>
    <col min="6" max="6" width="7.15625" bestFit="1" customWidth="1"/>
    <col min="7" max="7" width="11.20703125" bestFit="1" customWidth="1"/>
    <col min="8" max="8" width="18.89453125" bestFit="1" customWidth="1"/>
    <col min="9" max="9" width="19" customWidth="1"/>
  </cols>
  <sheetData>
    <row r="1" spans="1:9" ht="26.4" x14ac:dyDescent="1">
      <c r="A1" s="6" t="s">
        <v>229</v>
      </c>
      <c r="B1" s="7"/>
    </row>
    <row r="2" spans="1:9" ht="39" x14ac:dyDescent="0.75">
      <c r="A2" s="8" t="s">
        <v>189</v>
      </c>
      <c r="B2" s="8" t="s">
        <v>190</v>
      </c>
      <c r="C2" s="9" t="s">
        <v>297</v>
      </c>
      <c r="D2" s="8"/>
      <c r="E2" s="8" t="s">
        <v>191</v>
      </c>
      <c r="F2" s="9" t="s">
        <v>298</v>
      </c>
      <c r="G2" s="9" t="s">
        <v>295</v>
      </c>
      <c r="H2" s="9" t="s">
        <v>282</v>
      </c>
      <c r="I2" s="9" t="s">
        <v>286</v>
      </c>
    </row>
    <row r="4" spans="1:9" x14ac:dyDescent="0.55000000000000004">
      <c r="A4" s="7" t="s">
        <v>224</v>
      </c>
      <c r="B4">
        <f>B5+B6</f>
        <v>395</v>
      </c>
      <c r="C4">
        <f>C5+C6</f>
        <v>12</v>
      </c>
      <c r="D4" t="s">
        <v>193</v>
      </c>
      <c r="E4">
        <f>(E5*F5+E6*F6)/(F5+F6)</f>
        <v>10</v>
      </c>
      <c r="G4">
        <f>ROUND(E4, 2)</f>
        <v>10</v>
      </c>
      <c r="H4">
        <v>12</v>
      </c>
      <c r="I4">
        <f>IF(G4&gt;=10,H4,0)</f>
        <v>12</v>
      </c>
    </row>
    <row r="5" spans="1:9" x14ac:dyDescent="0.55000000000000004">
      <c r="A5" t="s">
        <v>163</v>
      </c>
      <c r="B5">
        <v>365</v>
      </c>
      <c r="C5">
        <v>10</v>
      </c>
      <c r="D5" t="s">
        <v>225</v>
      </c>
      <c r="E5">
        <v>10</v>
      </c>
      <c r="F5">
        <f>C5</f>
        <v>10</v>
      </c>
    </row>
    <row r="6" spans="1:9" x14ac:dyDescent="0.55000000000000004">
      <c r="A6" t="s">
        <v>164</v>
      </c>
      <c r="B6">
        <v>30</v>
      </c>
      <c r="C6">
        <v>2</v>
      </c>
      <c r="D6" t="s">
        <v>225</v>
      </c>
      <c r="E6">
        <v>10</v>
      </c>
      <c r="F6">
        <f>C6</f>
        <v>2</v>
      </c>
    </row>
    <row r="8" spans="1:9" x14ac:dyDescent="0.55000000000000004">
      <c r="A8" s="7" t="s">
        <v>226</v>
      </c>
      <c r="B8">
        <f>B9+B10+B11+B12+B13</f>
        <v>120</v>
      </c>
      <c r="C8">
        <f>C9+C10+C11+C12+C13</f>
        <v>8</v>
      </c>
      <c r="D8" t="s">
        <v>193</v>
      </c>
      <c r="E8">
        <f>(E9*F9+E10*F10+E11*F11+E12*F12+E13*F13)/(F9+F10+F11+F12+F13)</f>
        <v>10</v>
      </c>
      <c r="G8">
        <f>ROUND(E8, 2)</f>
        <v>10</v>
      </c>
      <c r="H8">
        <v>9</v>
      </c>
      <c r="I8">
        <f>IF(G8&gt;=10,H8,0)</f>
        <v>9</v>
      </c>
    </row>
    <row r="9" spans="1:9" x14ac:dyDescent="0.55000000000000004">
      <c r="A9" t="s">
        <v>165</v>
      </c>
      <c r="B9">
        <v>30</v>
      </c>
      <c r="C9">
        <v>2</v>
      </c>
      <c r="D9" t="s">
        <v>5</v>
      </c>
      <c r="E9">
        <v>10</v>
      </c>
      <c r="F9">
        <f>C9</f>
        <v>2</v>
      </c>
    </row>
    <row r="10" spans="1:9" x14ac:dyDescent="0.55000000000000004">
      <c r="A10" t="s">
        <v>166</v>
      </c>
      <c r="B10">
        <v>30</v>
      </c>
      <c r="C10">
        <v>2</v>
      </c>
      <c r="D10" t="s">
        <v>5</v>
      </c>
      <c r="E10">
        <v>10</v>
      </c>
      <c r="F10">
        <f>C10</f>
        <v>2</v>
      </c>
    </row>
    <row r="11" spans="1:9" x14ac:dyDescent="0.55000000000000004">
      <c r="A11" t="s">
        <v>167</v>
      </c>
      <c r="B11">
        <v>15</v>
      </c>
      <c r="C11">
        <v>1</v>
      </c>
      <c r="D11" t="s">
        <v>5</v>
      </c>
      <c r="E11">
        <v>10</v>
      </c>
      <c r="F11">
        <f>C11</f>
        <v>1</v>
      </c>
    </row>
    <row r="12" spans="1:9" x14ac:dyDescent="0.55000000000000004">
      <c r="A12" t="s">
        <v>168</v>
      </c>
      <c r="B12">
        <v>15</v>
      </c>
      <c r="C12">
        <v>1</v>
      </c>
      <c r="D12" t="s">
        <v>5</v>
      </c>
      <c r="E12">
        <v>10</v>
      </c>
      <c r="F12">
        <f>C12</f>
        <v>1</v>
      </c>
    </row>
    <row r="13" spans="1:9" x14ac:dyDescent="0.55000000000000004">
      <c r="A13" t="s">
        <v>227</v>
      </c>
      <c r="B13">
        <v>30</v>
      </c>
      <c r="C13">
        <v>2</v>
      </c>
      <c r="D13" t="s">
        <v>5</v>
      </c>
      <c r="E13">
        <v>10</v>
      </c>
      <c r="F13">
        <f>C13</f>
        <v>2</v>
      </c>
    </row>
    <row r="15" spans="1:9" x14ac:dyDescent="0.55000000000000004">
      <c r="A15" s="7" t="s">
        <v>170</v>
      </c>
      <c r="B15">
        <f>B16</f>
        <v>500</v>
      </c>
      <c r="C15">
        <f>C16</f>
        <v>9</v>
      </c>
      <c r="D15" t="s">
        <v>193</v>
      </c>
      <c r="E15">
        <f>(E16*F16)/(F16)</f>
        <v>10</v>
      </c>
      <c r="G15">
        <f>ROUND(E15,2)</f>
        <v>10</v>
      </c>
      <c r="H15">
        <v>9</v>
      </c>
      <c r="I15">
        <f>IF(G15&gt;=10,H15,0)</f>
        <v>9</v>
      </c>
    </row>
    <row r="16" spans="1:9" x14ac:dyDescent="0.55000000000000004">
      <c r="A16" t="s">
        <v>228</v>
      </c>
      <c r="B16">
        <v>500</v>
      </c>
      <c r="C16">
        <v>9</v>
      </c>
      <c r="D16" t="s">
        <v>5</v>
      </c>
      <c r="E16">
        <v>10</v>
      </c>
      <c r="F16">
        <f>C9</f>
        <v>2</v>
      </c>
    </row>
    <row r="18" spans="1:3" x14ac:dyDescent="0.55000000000000004">
      <c r="A18" s="7" t="s">
        <v>219</v>
      </c>
      <c r="B18">
        <f>B4+B8+B15</f>
        <v>1015</v>
      </c>
      <c r="C18">
        <f>C15+C8+C4</f>
        <v>29</v>
      </c>
    </row>
    <row r="19" spans="1:3" x14ac:dyDescent="0.55000000000000004">
      <c r="A19" s="7" t="s">
        <v>220</v>
      </c>
      <c r="B19">
        <f>(G4*C4+G8*C8+G15*C15)/C18</f>
        <v>10</v>
      </c>
    </row>
    <row r="20" spans="1:3" x14ac:dyDescent="0.55000000000000004">
      <c r="A20" s="7" t="s">
        <v>221</v>
      </c>
      <c r="B20" s="3">
        <f>ROUND(B19,2)</f>
        <v>10</v>
      </c>
    </row>
    <row r="21" spans="1:3" x14ac:dyDescent="0.55000000000000004">
      <c r="A21" s="7" t="s">
        <v>280</v>
      </c>
      <c r="B21">
        <f>H4+H8+H15</f>
        <v>30</v>
      </c>
    </row>
    <row r="22" spans="1:3" x14ac:dyDescent="0.55000000000000004">
      <c r="A22" s="7" t="s">
        <v>281</v>
      </c>
      <c r="B22">
        <f>I4+I8+I15</f>
        <v>30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58E8B8-58A4-4419-9D0A-272F5245AAF8}">
          <x14:formula1>
            <xm:f>'Menus déroulants'!$N$2:$N$3</xm:f>
          </x14:formula1>
          <xm:sqref>C13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5780C-FD79-429A-91DB-5646C8222972}">
  <dimension ref="A1:G1"/>
  <sheetViews>
    <sheetView workbookViewId="0">
      <selection activeCell="A2" sqref="A2"/>
    </sheetView>
  </sheetViews>
  <sheetFormatPr baseColWidth="10" defaultRowHeight="14.4" x14ac:dyDescent="0.55000000000000004"/>
  <cols>
    <col min="2" max="2" width="39.5234375" bestFit="1" customWidth="1"/>
    <col min="5" max="5" width="12.9453125" bestFit="1" customWidth="1"/>
    <col min="6" max="6" width="13.734375" bestFit="1" customWidth="1"/>
    <col min="7" max="7" width="32.6289062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253F70D-4FE8-4739-9294-21CFD51A96FD}">
          <x14:formula1>
            <xm:f>'Menus déroulants'!$L$2:$L$18</xm:f>
          </x14:formula1>
          <xm:sqref>B2:B50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25951-C537-45E0-A799-78A8AA3257AC}">
  <dimension ref="A1:N35"/>
  <sheetViews>
    <sheetView topLeftCell="K1" zoomScale="85" zoomScaleNormal="85" workbookViewId="0">
      <selection activeCell="N4" sqref="N4"/>
    </sheetView>
  </sheetViews>
  <sheetFormatPr baseColWidth="10" defaultRowHeight="14.4" x14ac:dyDescent="0.55000000000000004"/>
  <cols>
    <col min="4" max="4" width="43.1015625" bestFit="1" customWidth="1"/>
    <col min="5" max="5" width="59.62890625" bestFit="1" customWidth="1"/>
    <col min="6" max="6" width="40.62890625" bestFit="1" customWidth="1"/>
    <col min="7" max="7" width="40.15625" bestFit="1" customWidth="1"/>
    <col min="8" max="8" width="26.1015625" bestFit="1" customWidth="1"/>
    <col min="9" max="9" width="51.15625" bestFit="1" customWidth="1"/>
    <col min="10" max="10" width="23.89453125" bestFit="1" customWidth="1"/>
    <col min="11" max="11" width="33.3671875" bestFit="1" customWidth="1"/>
    <col min="12" max="12" width="40.41796875" bestFit="1" customWidth="1"/>
    <col min="13" max="13" width="38.1015625" bestFit="1" customWidth="1"/>
  </cols>
  <sheetData>
    <row r="1" spans="1:14" x14ac:dyDescent="0.55000000000000004">
      <c r="A1" t="s">
        <v>9</v>
      </c>
      <c r="B1" t="s">
        <v>10</v>
      </c>
      <c r="C1" t="s">
        <v>233</v>
      </c>
      <c r="D1" t="s">
        <v>37</v>
      </c>
      <c r="E1" t="s">
        <v>69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  <c r="M1" t="s">
        <v>96</v>
      </c>
    </row>
    <row r="2" spans="1:14" x14ac:dyDescent="0.55000000000000004">
      <c r="A2" t="s">
        <v>27</v>
      </c>
      <c r="B2" t="s">
        <v>30</v>
      </c>
      <c r="C2" t="s">
        <v>234</v>
      </c>
      <c r="D2" t="s">
        <v>36</v>
      </c>
      <c r="E2" t="s">
        <v>36</v>
      </c>
      <c r="F2" t="s">
        <v>36</v>
      </c>
      <c r="G2" t="s">
        <v>36</v>
      </c>
      <c r="H2" t="s">
        <v>36</v>
      </c>
      <c r="I2" t="s">
        <v>38</v>
      </c>
      <c r="J2" t="s">
        <v>153</v>
      </c>
      <c r="K2" t="s">
        <v>163</v>
      </c>
      <c r="L2" t="s">
        <v>171</v>
      </c>
      <c r="M2" t="s">
        <v>186</v>
      </c>
      <c r="N2">
        <v>0</v>
      </c>
    </row>
    <row r="3" spans="1:14" x14ac:dyDescent="0.55000000000000004">
      <c r="A3" t="s">
        <v>28</v>
      </c>
      <c r="B3" t="s">
        <v>31</v>
      </c>
      <c r="C3" t="s">
        <v>235</v>
      </c>
      <c r="D3" t="s">
        <v>38</v>
      </c>
      <c r="E3" t="s">
        <v>38</v>
      </c>
      <c r="F3" t="s">
        <v>38</v>
      </c>
      <c r="G3" t="s">
        <v>38</v>
      </c>
      <c r="H3" t="s">
        <v>126</v>
      </c>
      <c r="I3" t="s">
        <v>135</v>
      </c>
      <c r="J3" t="s">
        <v>154</v>
      </c>
      <c r="K3" t="s">
        <v>164</v>
      </c>
      <c r="L3" t="s">
        <v>172</v>
      </c>
      <c r="M3" t="s">
        <v>187</v>
      </c>
      <c r="N3">
        <v>2</v>
      </c>
    </row>
    <row r="4" spans="1:14" x14ac:dyDescent="0.55000000000000004">
      <c r="A4" t="s">
        <v>29</v>
      </c>
      <c r="B4" t="s">
        <v>32</v>
      </c>
      <c r="D4" t="s">
        <v>39</v>
      </c>
      <c r="E4" t="s">
        <v>39</v>
      </c>
      <c r="F4" t="s">
        <v>39</v>
      </c>
      <c r="G4" t="s">
        <v>39</v>
      </c>
      <c r="H4" t="s">
        <v>127</v>
      </c>
      <c r="I4" t="s">
        <v>136</v>
      </c>
      <c r="J4" t="s">
        <v>155</v>
      </c>
      <c r="K4" t="s">
        <v>165</v>
      </c>
      <c r="L4" t="s">
        <v>173</v>
      </c>
    </row>
    <row r="5" spans="1:14" x14ac:dyDescent="0.55000000000000004">
      <c r="B5" t="s">
        <v>33</v>
      </c>
      <c r="D5" t="s">
        <v>40</v>
      </c>
      <c r="E5" t="s">
        <v>40</v>
      </c>
      <c r="F5" t="s">
        <v>40</v>
      </c>
      <c r="G5" t="s">
        <v>40</v>
      </c>
      <c r="H5" t="s">
        <v>128</v>
      </c>
      <c r="I5" t="s">
        <v>138</v>
      </c>
      <c r="J5" t="s">
        <v>156</v>
      </c>
      <c r="K5" t="s">
        <v>166</v>
      </c>
      <c r="L5" t="s">
        <v>174</v>
      </c>
    </row>
    <row r="6" spans="1:14" x14ac:dyDescent="0.55000000000000004">
      <c r="B6" t="s">
        <v>34</v>
      </c>
      <c r="D6" t="s">
        <v>41</v>
      </c>
      <c r="E6" t="s">
        <v>41</v>
      </c>
      <c r="F6" t="s">
        <v>41</v>
      </c>
      <c r="G6" t="s">
        <v>41</v>
      </c>
      <c r="H6" t="s">
        <v>129</v>
      </c>
      <c r="I6" t="s">
        <v>137</v>
      </c>
      <c r="J6" t="s">
        <v>157</v>
      </c>
      <c r="K6" t="s">
        <v>167</v>
      </c>
      <c r="L6" t="s">
        <v>175</v>
      </c>
    </row>
    <row r="7" spans="1:14" x14ac:dyDescent="0.55000000000000004">
      <c r="B7" t="s">
        <v>35</v>
      </c>
      <c r="D7" t="s">
        <v>42</v>
      </c>
      <c r="E7" t="s">
        <v>42</v>
      </c>
      <c r="F7" t="s">
        <v>42</v>
      </c>
      <c r="G7" t="s">
        <v>42</v>
      </c>
      <c r="H7" t="s">
        <v>130</v>
      </c>
      <c r="I7" t="s">
        <v>139</v>
      </c>
      <c r="J7" t="s">
        <v>158</v>
      </c>
      <c r="K7" t="s">
        <v>168</v>
      </c>
      <c r="L7" t="s">
        <v>46</v>
      </c>
    </row>
    <row r="8" spans="1:14" x14ac:dyDescent="0.55000000000000004">
      <c r="D8" t="s">
        <v>43</v>
      </c>
      <c r="E8" t="s">
        <v>43</v>
      </c>
      <c r="F8" t="s">
        <v>43</v>
      </c>
      <c r="G8" t="s">
        <v>43</v>
      </c>
      <c r="H8" t="s">
        <v>131</v>
      </c>
      <c r="I8" t="s">
        <v>142</v>
      </c>
      <c r="J8" t="s">
        <v>159</v>
      </c>
      <c r="K8" t="s">
        <v>169</v>
      </c>
      <c r="L8" t="s">
        <v>176</v>
      </c>
    </row>
    <row r="9" spans="1:14" x14ac:dyDescent="0.55000000000000004">
      <c r="D9" t="s">
        <v>44</v>
      </c>
      <c r="E9" t="s">
        <v>44</v>
      </c>
      <c r="F9" t="s">
        <v>97</v>
      </c>
      <c r="G9" t="s">
        <v>97</v>
      </c>
      <c r="H9" t="s">
        <v>132</v>
      </c>
      <c r="I9" t="s">
        <v>143</v>
      </c>
      <c r="J9" t="s">
        <v>160</v>
      </c>
      <c r="K9" t="s">
        <v>170</v>
      </c>
      <c r="L9" t="s">
        <v>47</v>
      </c>
    </row>
    <row r="10" spans="1:14" x14ac:dyDescent="0.55000000000000004">
      <c r="D10" t="s">
        <v>45</v>
      </c>
      <c r="E10" t="s">
        <v>60</v>
      </c>
      <c r="F10" t="s">
        <v>98</v>
      </c>
      <c r="G10" t="s">
        <v>60</v>
      </c>
      <c r="H10" t="s">
        <v>46</v>
      </c>
      <c r="I10" t="s">
        <v>144</v>
      </c>
      <c r="J10" t="s">
        <v>161</v>
      </c>
      <c r="L10" t="s">
        <v>177</v>
      </c>
    </row>
    <row r="11" spans="1:14" x14ac:dyDescent="0.55000000000000004">
      <c r="D11" t="s">
        <v>46</v>
      </c>
      <c r="E11" t="s">
        <v>46</v>
      </c>
      <c r="F11" t="s">
        <v>46</v>
      </c>
      <c r="G11" t="s">
        <v>46</v>
      </c>
      <c r="H11" t="s">
        <v>133</v>
      </c>
      <c r="I11" t="s">
        <v>145</v>
      </c>
      <c r="J11" t="s">
        <v>46</v>
      </c>
      <c r="L11" t="s">
        <v>178</v>
      </c>
    </row>
    <row r="12" spans="1:14" x14ac:dyDescent="0.55000000000000004">
      <c r="D12" t="s">
        <v>47</v>
      </c>
      <c r="E12" t="s">
        <v>47</v>
      </c>
      <c r="F12" t="s">
        <v>47</v>
      </c>
      <c r="G12" t="s">
        <v>47</v>
      </c>
      <c r="H12" t="s">
        <v>47</v>
      </c>
      <c r="I12" t="s">
        <v>140</v>
      </c>
      <c r="J12" t="s">
        <v>162</v>
      </c>
      <c r="L12" t="s">
        <v>179</v>
      </c>
    </row>
    <row r="13" spans="1:14" x14ac:dyDescent="0.55000000000000004">
      <c r="D13" t="s">
        <v>48</v>
      </c>
      <c r="E13" t="s">
        <v>48</v>
      </c>
      <c r="F13" t="s">
        <v>48</v>
      </c>
      <c r="G13" t="s">
        <v>48</v>
      </c>
      <c r="H13" t="s">
        <v>134</v>
      </c>
      <c r="I13" t="s">
        <v>141</v>
      </c>
      <c r="J13" t="s">
        <v>47</v>
      </c>
      <c r="L13" t="s">
        <v>180</v>
      </c>
    </row>
    <row r="14" spans="1:14" x14ac:dyDescent="0.55000000000000004">
      <c r="D14" t="s">
        <v>49</v>
      </c>
      <c r="E14" t="s">
        <v>49</v>
      </c>
      <c r="F14" t="s">
        <v>49</v>
      </c>
      <c r="G14" t="s">
        <v>49</v>
      </c>
      <c r="I14" t="s">
        <v>47</v>
      </c>
      <c r="L14" t="s">
        <v>181</v>
      </c>
    </row>
    <row r="15" spans="1:14" x14ac:dyDescent="0.55000000000000004">
      <c r="D15" t="s">
        <v>50</v>
      </c>
      <c r="E15" t="s">
        <v>50</v>
      </c>
      <c r="F15" t="s">
        <v>50</v>
      </c>
      <c r="G15" t="s">
        <v>115</v>
      </c>
      <c r="I15" t="s">
        <v>134</v>
      </c>
      <c r="L15" t="s">
        <v>182</v>
      </c>
    </row>
    <row r="16" spans="1:14" x14ac:dyDescent="0.55000000000000004">
      <c r="D16" t="s">
        <v>51</v>
      </c>
      <c r="E16" t="s">
        <v>51</v>
      </c>
      <c r="F16" t="s">
        <v>99</v>
      </c>
      <c r="G16" t="s">
        <v>116</v>
      </c>
      <c r="I16" t="s">
        <v>146</v>
      </c>
      <c r="L16" t="s">
        <v>183</v>
      </c>
    </row>
    <row r="17" spans="4:12" x14ac:dyDescent="0.55000000000000004">
      <c r="D17" t="s">
        <v>52</v>
      </c>
      <c r="E17" t="s">
        <v>52</v>
      </c>
      <c r="F17" t="s">
        <v>100</v>
      </c>
      <c r="G17" t="s">
        <v>117</v>
      </c>
      <c r="I17" t="s">
        <v>147</v>
      </c>
      <c r="L17" t="s">
        <v>184</v>
      </c>
    </row>
    <row r="18" spans="4:12" x14ac:dyDescent="0.55000000000000004">
      <c r="D18" t="s">
        <v>53</v>
      </c>
      <c r="E18" t="s">
        <v>61</v>
      </c>
      <c r="F18" t="s">
        <v>101</v>
      </c>
      <c r="G18" t="s">
        <v>61</v>
      </c>
      <c r="I18" t="s">
        <v>148</v>
      </c>
      <c r="L18" t="s">
        <v>185</v>
      </c>
    </row>
    <row r="19" spans="4:12" x14ac:dyDescent="0.55000000000000004">
      <c r="D19" t="s">
        <v>54</v>
      </c>
      <c r="E19" t="s">
        <v>62</v>
      </c>
      <c r="F19" t="s">
        <v>102</v>
      </c>
      <c r="G19" t="s">
        <v>118</v>
      </c>
      <c r="I19" t="s">
        <v>149</v>
      </c>
    </row>
    <row r="20" spans="4:12" x14ac:dyDescent="0.55000000000000004">
      <c r="D20" t="s">
        <v>55</v>
      </c>
      <c r="E20" t="s">
        <v>63</v>
      </c>
      <c r="F20" t="s">
        <v>103</v>
      </c>
      <c r="G20" t="s">
        <v>119</v>
      </c>
      <c r="I20" t="s">
        <v>150</v>
      </c>
    </row>
    <row r="21" spans="4:12" x14ac:dyDescent="0.55000000000000004">
      <c r="D21" t="s">
        <v>56</v>
      </c>
      <c r="E21" t="s">
        <v>64</v>
      </c>
      <c r="F21" t="s">
        <v>104</v>
      </c>
      <c r="G21" t="s">
        <v>62</v>
      </c>
      <c r="I21" t="s">
        <v>151</v>
      </c>
    </row>
    <row r="22" spans="4:12" x14ac:dyDescent="0.55000000000000004">
      <c r="D22" t="s">
        <v>57</v>
      </c>
      <c r="E22" t="s">
        <v>66</v>
      </c>
      <c r="F22" t="s">
        <v>105</v>
      </c>
      <c r="G22" t="s">
        <v>120</v>
      </c>
      <c r="I22" t="s">
        <v>152</v>
      </c>
    </row>
    <row r="23" spans="4:12" x14ac:dyDescent="0.55000000000000004">
      <c r="D23" t="s">
        <v>58</v>
      </c>
      <c r="E23" t="s">
        <v>65</v>
      </c>
      <c r="F23" t="s">
        <v>106</v>
      </c>
      <c r="G23" t="s">
        <v>121</v>
      </c>
    </row>
    <row r="24" spans="4:12" x14ac:dyDescent="0.55000000000000004">
      <c r="D24" t="s">
        <v>59</v>
      </c>
      <c r="E24" t="s">
        <v>67</v>
      </c>
      <c r="F24" t="s">
        <v>107</v>
      </c>
      <c r="G24" t="s">
        <v>122</v>
      </c>
    </row>
    <row r="25" spans="4:12" x14ac:dyDescent="0.55000000000000004">
      <c r="D25" t="s">
        <v>70</v>
      </c>
      <c r="E25" t="s">
        <v>68</v>
      </c>
      <c r="F25" t="s">
        <v>108</v>
      </c>
      <c r="G25" t="s">
        <v>123</v>
      </c>
    </row>
    <row r="26" spans="4:12" x14ac:dyDescent="0.55000000000000004">
      <c r="D26" t="s">
        <v>71</v>
      </c>
      <c r="E26" t="s">
        <v>80</v>
      </c>
      <c r="F26" t="s">
        <v>109</v>
      </c>
      <c r="G26" t="s">
        <v>124</v>
      </c>
    </row>
    <row r="27" spans="4:12" x14ac:dyDescent="0.55000000000000004">
      <c r="D27" t="s">
        <v>72</v>
      </c>
      <c r="E27" t="s">
        <v>81</v>
      </c>
      <c r="F27" t="s">
        <v>110</v>
      </c>
      <c r="G27" t="s">
        <v>125</v>
      </c>
    </row>
    <row r="28" spans="4:12" x14ac:dyDescent="0.55000000000000004">
      <c r="D28" t="s">
        <v>73</v>
      </c>
      <c r="E28" t="s">
        <v>82</v>
      </c>
      <c r="F28" t="s">
        <v>111</v>
      </c>
      <c r="G28" t="s">
        <v>114</v>
      </c>
    </row>
    <row r="29" spans="4:12" x14ac:dyDescent="0.55000000000000004">
      <c r="D29" t="s">
        <v>74</v>
      </c>
      <c r="E29" t="s">
        <v>83</v>
      </c>
      <c r="F29" t="s">
        <v>112</v>
      </c>
      <c r="G29" t="s">
        <v>88</v>
      </c>
    </row>
    <row r="30" spans="4:12" x14ac:dyDescent="0.55000000000000004">
      <c r="D30" t="s">
        <v>75</v>
      </c>
      <c r="E30" t="s">
        <v>84</v>
      </c>
      <c r="F30" t="s">
        <v>113</v>
      </c>
    </row>
    <row r="31" spans="4:12" x14ac:dyDescent="0.55000000000000004">
      <c r="D31" t="s">
        <v>76</v>
      </c>
      <c r="E31" t="s">
        <v>85</v>
      </c>
      <c r="F31" t="s">
        <v>114</v>
      </c>
    </row>
    <row r="32" spans="4:12" x14ac:dyDescent="0.55000000000000004">
      <c r="D32" t="s">
        <v>77</v>
      </c>
      <c r="E32" t="s">
        <v>86</v>
      </c>
      <c r="F32" t="s">
        <v>88</v>
      </c>
    </row>
    <row r="33" spans="4:5" x14ac:dyDescent="0.55000000000000004">
      <c r="D33" t="s">
        <v>78</v>
      </c>
      <c r="E33" t="s">
        <v>87</v>
      </c>
    </row>
    <row r="34" spans="4:5" x14ac:dyDescent="0.55000000000000004">
      <c r="D34" t="s">
        <v>79</v>
      </c>
      <c r="E34" t="s">
        <v>78</v>
      </c>
    </row>
    <row r="35" spans="4:5" x14ac:dyDescent="0.55000000000000004">
      <c r="E35" t="s">
        <v>88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84161-BE4A-4441-9A45-CB10429972EF}">
  <dimension ref="A1:I35"/>
  <sheetViews>
    <sheetView zoomScale="70" zoomScaleNormal="70" workbookViewId="0">
      <selection activeCell="G4" sqref="G4"/>
    </sheetView>
  </sheetViews>
  <sheetFormatPr baseColWidth="10" defaultRowHeight="14.4" x14ac:dyDescent="0.55000000000000004"/>
  <cols>
    <col min="1" max="1" width="39.5234375" bestFit="1" customWidth="1"/>
    <col min="2" max="2" width="15.05078125" bestFit="1" customWidth="1"/>
    <col min="3" max="3" width="6.89453125" bestFit="1" customWidth="1"/>
    <col min="5" max="5" width="8" bestFit="1" customWidth="1"/>
    <col min="6" max="6" width="7.05078125" bestFit="1" customWidth="1"/>
    <col min="7" max="7" width="11.05078125" bestFit="1" customWidth="1"/>
    <col min="8" max="8" width="18.3125" bestFit="1" customWidth="1"/>
    <col min="9" max="9" width="17.83984375" bestFit="1" customWidth="1"/>
  </cols>
  <sheetData>
    <row r="1" spans="1:9" ht="26.4" x14ac:dyDescent="1">
      <c r="A1" s="6" t="s">
        <v>230</v>
      </c>
      <c r="B1" s="7"/>
    </row>
    <row r="2" spans="1:9" ht="38.1" customHeight="1" x14ac:dyDescent="0.75">
      <c r="A2" s="8" t="s">
        <v>189</v>
      </c>
      <c r="B2" s="9" t="s">
        <v>296</v>
      </c>
      <c r="C2" s="9" t="s">
        <v>297</v>
      </c>
      <c r="D2" s="8"/>
      <c r="E2" s="8" t="s">
        <v>191</v>
      </c>
      <c r="F2" s="9" t="s">
        <v>298</v>
      </c>
      <c r="G2" s="9" t="s">
        <v>295</v>
      </c>
      <c r="H2" s="9" t="s">
        <v>282</v>
      </c>
      <c r="I2" s="9" t="s">
        <v>286</v>
      </c>
    </row>
    <row r="4" spans="1:9" x14ac:dyDescent="0.55000000000000004">
      <c r="A4" s="7" t="s">
        <v>231</v>
      </c>
      <c r="B4">
        <f>B5+B6+B7+B8+B9</f>
        <v>365</v>
      </c>
      <c r="C4">
        <f>C5+C6+C7+C8+C9</f>
        <v>6</v>
      </c>
      <c r="D4" t="s">
        <v>193</v>
      </c>
      <c r="E4">
        <f>(E5*F5+E6*F6+E7*F7+E8*F8+E9*F9)/(C4)</f>
        <v>10</v>
      </c>
      <c r="G4">
        <f>ROUND(E4, 2)</f>
        <v>10</v>
      </c>
      <c r="H4">
        <v>4</v>
      </c>
      <c r="I4">
        <f>IF(G4&gt;=10,H4,0)</f>
        <v>4</v>
      </c>
    </row>
    <row r="5" spans="1:9" x14ac:dyDescent="0.55000000000000004">
      <c r="A5" t="s">
        <v>171</v>
      </c>
      <c r="B5">
        <v>30</v>
      </c>
      <c r="C5">
        <v>2</v>
      </c>
      <c r="D5" t="s">
        <v>5</v>
      </c>
      <c r="E5">
        <v>10</v>
      </c>
      <c r="F5">
        <f>C5</f>
        <v>2</v>
      </c>
    </row>
    <row r="6" spans="1:9" x14ac:dyDescent="0.55000000000000004">
      <c r="A6" t="s">
        <v>172</v>
      </c>
      <c r="B6">
        <v>10</v>
      </c>
      <c r="C6">
        <v>1</v>
      </c>
      <c r="D6" t="s">
        <v>5</v>
      </c>
      <c r="E6">
        <v>10</v>
      </c>
      <c r="F6">
        <f>C6</f>
        <v>1</v>
      </c>
    </row>
    <row r="7" spans="1:9" x14ac:dyDescent="0.55000000000000004">
      <c r="A7" t="s">
        <v>173</v>
      </c>
      <c r="B7">
        <v>10</v>
      </c>
      <c r="C7">
        <v>1</v>
      </c>
      <c r="D7" t="s">
        <v>5</v>
      </c>
      <c r="E7">
        <v>10</v>
      </c>
      <c r="F7">
        <f t="shared" ref="F7:F9" si="0">C7</f>
        <v>1</v>
      </c>
    </row>
    <row r="8" spans="1:9" x14ac:dyDescent="0.55000000000000004">
      <c r="A8" t="s">
        <v>174</v>
      </c>
      <c r="B8">
        <f>IF('Read me'!B5="OUI", 360,0)</f>
        <v>0</v>
      </c>
      <c r="C8">
        <f>IF('Read me'!B5="OUI", 2,0)</f>
        <v>0</v>
      </c>
      <c r="D8" t="s">
        <v>5</v>
      </c>
      <c r="E8">
        <v>10</v>
      </c>
      <c r="F8">
        <f t="shared" si="0"/>
        <v>0</v>
      </c>
    </row>
    <row r="9" spans="1:9" x14ac:dyDescent="0.55000000000000004">
      <c r="A9" t="s">
        <v>175</v>
      </c>
      <c r="B9">
        <f>IF('Read me'!B5="OUI", 0,315)</f>
        <v>315</v>
      </c>
      <c r="C9">
        <f>IF('Read me'!B5="OUI", 0,2)</f>
        <v>2</v>
      </c>
      <c r="D9" t="s">
        <v>5</v>
      </c>
      <c r="E9">
        <v>10</v>
      </c>
      <c r="F9">
        <f t="shared" si="0"/>
        <v>2</v>
      </c>
    </row>
    <row r="11" spans="1:9" x14ac:dyDescent="0.55000000000000004">
      <c r="A11" s="7" t="s">
        <v>232</v>
      </c>
      <c r="B11">
        <f>B12+B13+B14</f>
        <v>60</v>
      </c>
      <c r="C11">
        <f>C12+C13+C14</f>
        <v>4</v>
      </c>
      <c r="D11" t="s">
        <v>193</v>
      </c>
      <c r="E11">
        <f>(E12*F12+E13*F13+E14*F14)/(C11)</f>
        <v>10</v>
      </c>
      <c r="G11">
        <f>ROUND(E11, 2)</f>
        <v>10</v>
      </c>
      <c r="H11">
        <v>5</v>
      </c>
      <c r="I11">
        <f>IF(G11&gt;=10,H11,0)</f>
        <v>5</v>
      </c>
    </row>
    <row r="12" spans="1:9" x14ac:dyDescent="0.55000000000000004">
      <c r="A12" t="s">
        <v>46</v>
      </c>
      <c r="B12">
        <v>15</v>
      </c>
      <c r="C12">
        <v>1</v>
      </c>
      <c r="D12" t="s">
        <v>5</v>
      </c>
      <c r="E12">
        <v>10</v>
      </c>
      <c r="F12">
        <f>C12</f>
        <v>1</v>
      </c>
    </row>
    <row r="13" spans="1:9" x14ac:dyDescent="0.55000000000000004">
      <c r="A13" t="s">
        <v>176</v>
      </c>
      <c r="B13">
        <v>15</v>
      </c>
      <c r="C13">
        <v>1</v>
      </c>
      <c r="D13" t="s">
        <v>5</v>
      </c>
      <c r="E13">
        <v>10</v>
      </c>
      <c r="F13">
        <f>C13</f>
        <v>1</v>
      </c>
    </row>
    <row r="14" spans="1:9" x14ac:dyDescent="0.55000000000000004">
      <c r="A14" t="s">
        <v>47</v>
      </c>
      <c r="B14">
        <v>30</v>
      </c>
      <c r="C14">
        <v>2</v>
      </c>
      <c r="D14" t="s">
        <v>5</v>
      </c>
      <c r="E14">
        <v>10</v>
      </c>
      <c r="F14">
        <f>C14</f>
        <v>2</v>
      </c>
    </row>
    <row r="16" spans="1:9" x14ac:dyDescent="0.55000000000000004">
      <c r="A16" s="7" t="s">
        <v>236</v>
      </c>
      <c r="B16">
        <f>B17+B18+B19</f>
        <v>90</v>
      </c>
      <c r="C16">
        <f>C17+C18+C19</f>
        <v>6</v>
      </c>
      <c r="D16" t="s">
        <v>193</v>
      </c>
      <c r="E16">
        <f>(E17*F17+E18*F18+E19*F19)/(C16)</f>
        <v>10</v>
      </c>
      <c r="G16">
        <f>ROUND(E16,2)</f>
        <v>10</v>
      </c>
      <c r="H16">
        <v>7</v>
      </c>
      <c r="I16">
        <f>IF(G16&gt;=10,H16,0)</f>
        <v>7</v>
      </c>
    </row>
    <row r="17" spans="1:9" x14ac:dyDescent="0.55000000000000004">
      <c r="A17" t="s">
        <v>165</v>
      </c>
      <c r="B17">
        <v>30</v>
      </c>
      <c r="C17">
        <v>2</v>
      </c>
      <c r="D17" t="s">
        <v>5</v>
      </c>
      <c r="E17">
        <v>10</v>
      </c>
      <c r="F17">
        <f>C17</f>
        <v>2</v>
      </c>
    </row>
    <row r="18" spans="1:9" x14ac:dyDescent="0.55000000000000004">
      <c r="A18" t="s">
        <v>166</v>
      </c>
      <c r="B18">
        <v>30</v>
      </c>
      <c r="C18">
        <v>2</v>
      </c>
      <c r="D18" t="s">
        <v>5</v>
      </c>
      <c r="E18">
        <v>10</v>
      </c>
      <c r="F18">
        <f t="shared" ref="F18:F19" si="1">C18</f>
        <v>2</v>
      </c>
    </row>
    <row r="19" spans="1:9" x14ac:dyDescent="0.55000000000000004">
      <c r="A19" t="s">
        <v>167</v>
      </c>
      <c r="B19">
        <v>30</v>
      </c>
      <c r="C19">
        <v>2</v>
      </c>
      <c r="D19" t="s">
        <v>5</v>
      </c>
      <c r="E19">
        <v>10</v>
      </c>
      <c r="F19">
        <f t="shared" si="1"/>
        <v>2</v>
      </c>
    </row>
    <row r="21" spans="1:9" x14ac:dyDescent="0.55000000000000004">
      <c r="A21" s="7" t="s">
        <v>237</v>
      </c>
      <c r="B21">
        <f>B22+B23+B24</f>
        <v>90</v>
      </c>
      <c r="C21">
        <f>C22+C23+C24</f>
        <v>6</v>
      </c>
      <c r="D21" t="s">
        <v>193</v>
      </c>
      <c r="E21">
        <f>(E22*F22+E23*F23+E24*F24)/(C21)</f>
        <v>10</v>
      </c>
      <c r="G21">
        <f>ROUND(E21,2)</f>
        <v>10</v>
      </c>
      <c r="H21">
        <v>7</v>
      </c>
      <c r="I21">
        <f>IF(G21&gt;=10,H21,0)</f>
        <v>7</v>
      </c>
    </row>
    <row r="22" spans="1:9" x14ac:dyDescent="0.55000000000000004">
      <c r="A22" t="s">
        <v>165</v>
      </c>
      <c r="B22">
        <v>30</v>
      </c>
      <c r="C22">
        <v>2</v>
      </c>
      <c r="D22" t="s">
        <v>5</v>
      </c>
      <c r="E22">
        <v>10</v>
      </c>
      <c r="F22">
        <f>C22</f>
        <v>2</v>
      </c>
    </row>
    <row r="23" spans="1:9" x14ac:dyDescent="0.55000000000000004">
      <c r="A23" t="s">
        <v>166</v>
      </c>
      <c r="B23">
        <v>30</v>
      </c>
      <c r="C23">
        <v>2</v>
      </c>
      <c r="D23" t="s">
        <v>5</v>
      </c>
      <c r="E23">
        <v>10</v>
      </c>
      <c r="F23">
        <f t="shared" ref="F23:F24" si="2">C23</f>
        <v>2</v>
      </c>
    </row>
    <row r="24" spans="1:9" x14ac:dyDescent="0.55000000000000004">
      <c r="A24" t="s">
        <v>167</v>
      </c>
      <c r="B24">
        <v>30</v>
      </c>
      <c r="C24">
        <v>2</v>
      </c>
      <c r="D24" t="s">
        <v>5</v>
      </c>
      <c r="E24">
        <v>10</v>
      </c>
      <c r="F24">
        <f t="shared" si="2"/>
        <v>2</v>
      </c>
    </row>
    <row r="26" spans="1:9" x14ac:dyDescent="0.55000000000000004">
      <c r="A26" s="7" t="s">
        <v>238</v>
      </c>
      <c r="B26">
        <f>B27+B28+B29</f>
        <v>90</v>
      </c>
      <c r="C26">
        <f>C27+C28+C29</f>
        <v>6</v>
      </c>
      <c r="D26" t="s">
        <v>193</v>
      </c>
      <c r="E26">
        <f>(E27*F27+E28*F28+E29*F29)/(C26)</f>
        <v>10</v>
      </c>
      <c r="G26">
        <f>ROUND(E26,2)</f>
        <v>10</v>
      </c>
      <c r="H26">
        <v>7</v>
      </c>
      <c r="I26">
        <f>IF(G26&gt;=10,H26,0)</f>
        <v>7</v>
      </c>
    </row>
    <row r="27" spans="1:9" x14ac:dyDescent="0.55000000000000004">
      <c r="A27" t="s">
        <v>165</v>
      </c>
      <c r="B27">
        <v>30</v>
      </c>
      <c r="C27">
        <v>2</v>
      </c>
      <c r="D27" t="s">
        <v>5</v>
      </c>
      <c r="E27">
        <v>10</v>
      </c>
      <c r="F27">
        <f>C27</f>
        <v>2</v>
      </c>
    </row>
    <row r="28" spans="1:9" x14ac:dyDescent="0.55000000000000004">
      <c r="A28" t="s">
        <v>166</v>
      </c>
      <c r="B28">
        <v>30</v>
      </c>
      <c r="C28">
        <v>2</v>
      </c>
      <c r="D28" t="s">
        <v>5</v>
      </c>
      <c r="E28">
        <v>10</v>
      </c>
      <c r="F28">
        <f t="shared" ref="F28:F29" si="3">C28</f>
        <v>2</v>
      </c>
    </row>
    <row r="29" spans="1:9" x14ac:dyDescent="0.55000000000000004">
      <c r="A29" t="s">
        <v>167</v>
      </c>
      <c r="B29">
        <v>30</v>
      </c>
      <c r="C29">
        <v>2</v>
      </c>
      <c r="D29" t="s">
        <v>5</v>
      </c>
      <c r="E29">
        <v>10</v>
      </c>
      <c r="F29">
        <f t="shared" si="3"/>
        <v>2</v>
      </c>
    </row>
    <row r="31" spans="1:9" x14ac:dyDescent="0.55000000000000004">
      <c r="A31" s="7" t="s">
        <v>219</v>
      </c>
      <c r="B31">
        <f>B4+B11+B16+B21+B26</f>
        <v>695</v>
      </c>
      <c r="C31">
        <f>C4+C11+C16+C21+C26</f>
        <v>28</v>
      </c>
    </row>
    <row r="32" spans="1:9" x14ac:dyDescent="0.55000000000000004">
      <c r="A32" s="7" t="s">
        <v>220</v>
      </c>
      <c r="B32" s="13">
        <f>(G4*C4+G11*C11+G16*C16+C21*G21+C26*G26)/C31</f>
        <v>10</v>
      </c>
    </row>
    <row r="33" spans="1:2" x14ac:dyDescent="0.55000000000000004">
      <c r="A33" s="7" t="s">
        <v>221</v>
      </c>
      <c r="B33" s="3">
        <f>ROUND(B32,2)</f>
        <v>10</v>
      </c>
    </row>
    <row r="34" spans="1:2" x14ac:dyDescent="0.55000000000000004">
      <c r="A34" s="7" t="s">
        <v>280</v>
      </c>
      <c r="B34">
        <f>H4+H11+H16+H21+H26</f>
        <v>30</v>
      </c>
    </row>
    <row r="35" spans="1:2" x14ac:dyDescent="0.55000000000000004">
      <c r="A35" s="7" t="s">
        <v>281</v>
      </c>
      <c r="B35">
        <f>I4+I11+I16+I21+I26</f>
        <v>30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8E970-EB3C-40D2-BEF0-BB6201CD1E36}">
  <dimension ref="A1:G1"/>
  <sheetViews>
    <sheetView workbookViewId="0">
      <selection activeCell="A2" sqref="A2"/>
    </sheetView>
  </sheetViews>
  <sheetFormatPr baseColWidth="10" defaultRowHeight="14.4" x14ac:dyDescent="0.55000000000000004"/>
  <cols>
    <col min="2" max="2" width="37.15625" bestFit="1" customWidth="1"/>
    <col min="5" max="5" width="12.9453125" bestFit="1" customWidth="1"/>
    <col min="6" max="6" width="13.734375" bestFit="1" customWidth="1"/>
    <col min="7" max="7" width="26.57812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21B99AB-BA15-41D2-AAD5-211F9E2351E1}">
          <x14:formula1>
            <xm:f>'Menus déroulants'!$M$2:$M$3</xm:f>
          </x14:formula1>
          <xm:sqref>B2:B50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1EE8D-135E-4C8B-85F7-572A4296D677}">
  <dimension ref="A1:I17"/>
  <sheetViews>
    <sheetView topLeftCell="A2" workbookViewId="0">
      <selection activeCell="B3" sqref="B3"/>
    </sheetView>
  </sheetViews>
  <sheetFormatPr baseColWidth="10" defaultRowHeight="14.4" x14ac:dyDescent="0.55000000000000004"/>
  <cols>
    <col min="1" max="1" width="36.7890625" bestFit="1" customWidth="1"/>
    <col min="2" max="2" width="10.26171875" bestFit="1" customWidth="1"/>
    <col min="3" max="3" width="6.83984375" bestFit="1" customWidth="1"/>
    <col min="4" max="4" width="7.89453125" bestFit="1" customWidth="1"/>
    <col min="5" max="5" width="7.9453125" bestFit="1" customWidth="1"/>
    <col min="6" max="6" width="7" bestFit="1" customWidth="1"/>
    <col min="7" max="7" width="10.89453125" bestFit="1" customWidth="1"/>
    <col min="8" max="8" width="18.3125" bestFit="1" customWidth="1"/>
    <col min="9" max="9" width="17.47265625" bestFit="1" customWidth="1"/>
    <col min="10" max="10" width="20.9453125" bestFit="1" customWidth="1"/>
  </cols>
  <sheetData>
    <row r="1" spans="1:9" ht="26.4" x14ac:dyDescent="1">
      <c r="A1" s="6" t="s">
        <v>239</v>
      </c>
      <c r="B1" s="7"/>
    </row>
    <row r="2" spans="1:9" ht="58.5" x14ac:dyDescent="0.75">
      <c r="A2" s="8" t="s">
        <v>189</v>
      </c>
      <c r="B2" s="9" t="s">
        <v>296</v>
      </c>
      <c r="C2" s="9" t="s">
        <v>297</v>
      </c>
      <c r="D2" s="8"/>
      <c r="E2" s="8" t="s">
        <v>191</v>
      </c>
      <c r="F2" s="9" t="s">
        <v>298</v>
      </c>
      <c r="G2" s="9" t="s">
        <v>295</v>
      </c>
      <c r="H2" s="9" t="s">
        <v>282</v>
      </c>
      <c r="I2" s="9" t="s">
        <v>286</v>
      </c>
    </row>
    <row r="4" spans="1:9" x14ac:dyDescent="0.55000000000000004">
      <c r="A4" s="7" t="s">
        <v>240</v>
      </c>
      <c r="B4">
        <f>B5</f>
        <v>0</v>
      </c>
      <c r="C4">
        <f>C5</f>
        <v>0</v>
      </c>
      <c r="D4" t="s">
        <v>193</v>
      </c>
      <c r="E4">
        <f>IF('Read me'!B5="OUI",(E5*F5)/(F5),E5)</f>
        <v>10</v>
      </c>
      <c r="G4">
        <f>ROUND(E4, 2)</f>
        <v>10</v>
      </c>
      <c r="H4">
        <f>IF('Read me'!B5="OUI",4,0)</f>
        <v>0</v>
      </c>
      <c r="I4" s="14">
        <f>IF(G4&gt;=10,H4,0)</f>
        <v>0</v>
      </c>
    </row>
    <row r="5" spans="1:9" x14ac:dyDescent="0.55000000000000004">
      <c r="A5" t="s">
        <v>186</v>
      </c>
      <c r="B5">
        <f>IF('Read me'!B5="OUI",70,0)</f>
        <v>0</v>
      </c>
      <c r="C5">
        <f>IF('Read me'!B5="OUI", 4,0)</f>
        <v>0</v>
      </c>
      <c r="D5" t="s">
        <v>5</v>
      </c>
      <c r="E5">
        <v>10</v>
      </c>
      <c r="F5">
        <f>C5</f>
        <v>0</v>
      </c>
    </row>
    <row r="7" spans="1:9" x14ac:dyDescent="0.55000000000000004">
      <c r="A7" s="7" t="s">
        <v>241</v>
      </c>
      <c r="B7">
        <f>B8</f>
        <v>0</v>
      </c>
      <c r="C7">
        <f>C8</f>
        <v>0</v>
      </c>
      <c r="D7" t="s">
        <v>193</v>
      </c>
      <c r="E7">
        <f>IF('Read me'!B5="OUI",(E8*F8)/(F8),E8)</f>
        <v>10</v>
      </c>
      <c r="G7">
        <f>ROUND(E7, 2)</f>
        <v>10</v>
      </c>
      <c r="H7">
        <f>IF('Read me'!B5="OUI",26,0)</f>
        <v>0</v>
      </c>
      <c r="I7" s="14">
        <f>IF(G7&gt;=10,H7,0)</f>
        <v>0</v>
      </c>
    </row>
    <row r="8" spans="1:9" x14ac:dyDescent="0.55000000000000004">
      <c r="A8" t="s">
        <v>242</v>
      </c>
      <c r="B8">
        <f>IF('Read me'!B5="OUI", 680,0)</f>
        <v>0</v>
      </c>
      <c r="C8">
        <f>IF('Read me'!B5="OUI", 26,0)</f>
        <v>0</v>
      </c>
      <c r="D8" t="s">
        <v>5</v>
      </c>
      <c r="E8">
        <v>10</v>
      </c>
      <c r="F8">
        <f>C8</f>
        <v>0</v>
      </c>
    </row>
    <row r="10" spans="1:9" x14ac:dyDescent="0.55000000000000004">
      <c r="A10" s="7" t="s">
        <v>241</v>
      </c>
      <c r="B10">
        <f>B11</f>
        <v>750</v>
      </c>
      <c r="C10">
        <f>C11</f>
        <v>30</v>
      </c>
      <c r="D10" t="s">
        <v>193</v>
      </c>
      <c r="E10">
        <f>IF('Read me'!B5="OUI", E11,(E11*F11)/(F11))</f>
        <v>10</v>
      </c>
      <c r="G10">
        <f>ROUND(E10,2)</f>
        <v>10</v>
      </c>
      <c r="H10">
        <f>IF('Read me'!B5="OUI",0,30)</f>
        <v>30</v>
      </c>
      <c r="I10">
        <f>IF(G10&gt;=10,H10,0)</f>
        <v>30</v>
      </c>
    </row>
    <row r="11" spans="1:9" x14ac:dyDescent="0.55000000000000004">
      <c r="A11" t="s">
        <v>187</v>
      </c>
      <c r="B11">
        <f>IF('Read me'!B5="OUI", 0,750)</f>
        <v>750</v>
      </c>
      <c r="C11">
        <f>IF('Read me'!B5="OUI",0,30)</f>
        <v>30</v>
      </c>
      <c r="D11" t="s">
        <v>5</v>
      </c>
      <c r="E11">
        <v>10</v>
      </c>
      <c r="F11">
        <v>30</v>
      </c>
    </row>
    <row r="13" spans="1:9" x14ac:dyDescent="0.55000000000000004">
      <c r="A13" s="7" t="s">
        <v>219</v>
      </c>
      <c r="B13">
        <f>IF('Read me'!B5="OUI",B4+B7,B10)</f>
        <v>750</v>
      </c>
      <c r="C13">
        <f>C10+C7+C4</f>
        <v>30</v>
      </c>
    </row>
    <row r="14" spans="1:9" x14ac:dyDescent="0.55000000000000004">
      <c r="A14" s="7" t="s">
        <v>220</v>
      </c>
      <c r="B14" s="13">
        <f>(G4*C4+G7*C7+G10*C10)/C13</f>
        <v>10</v>
      </c>
    </row>
    <row r="15" spans="1:9" x14ac:dyDescent="0.55000000000000004">
      <c r="A15" s="7" t="s">
        <v>221</v>
      </c>
      <c r="B15" s="3">
        <f>ROUND(B14,2)</f>
        <v>10</v>
      </c>
    </row>
    <row r="16" spans="1:9" x14ac:dyDescent="0.55000000000000004">
      <c r="A16" s="7" t="s">
        <v>280</v>
      </c>
      <c r="B16">
        <f>H4+H7+H10</f>
        <v>30</v>
      </c>
    </row>
    <row r="17" spans="1:2" x14ac:dyDescent="0.55000000000000004">
      <c r="A17" s="7" t="s">
        <v>281</v>
      </c>
      <c r="B17">
        <f>I4+I7+I10</f>
        <v>30</v>
      </c>
    </row>
  </sheetData>
  <conditionalFormatting sqref="B15">
    <cfRule type="expression" dxfId="19" priority="9">
      <formula>B15&gt;11</formula>
    </cfRule>
    <cfRule type="expression" dxfId="18" priority="10">
      <formula>B15&gt;=10</formula>
    </cfRule>
    <cfRule type="expression" dxfId="17" priority="11">
      <formula>B15&lt;10</formula>
    </cfRule>
  </conditionalFormatting>
  <conditionalFormatting sqref="B17">
    <cfRule type="expression" dxfId="16" priority="1">
      <formula>B17=B16</formula>
    </cfRule>
    <cfRule type="expression" dxfId="15" priority="2">
      <formula>B17&lt;B16</formula>
    </cfRule>
  </conditionalFormatting>
  <conditionalFormatting sqref="G4">
    <cfRule type="expression" dxfId="14" priority="18">
      <formula>G4&gt;11</formula>
    </cfRule>
    <cfRule type="expression" dxfId="13" priority="19">
      <formula>G4&gt;=10</formula>
    </cfRule>
    <cfRule type="expression" dxfId="12" priority="20">
      <formula>G4&lt;10</formula>
    </cfRule>
  </conditionalFormatting>
  <conditionalFormatting sqref="G7">
    <cfRule type="expression" dxfId="11" priority="15">
      <formula>G7&gt;11</formula>
    </cfRule>
    <cfRule type="expression" dxfId="10" priority="16">
      <formula>G7&gt;=10</formula>
    </cfRule>
    <cfRule type="expression" dxfId="9" priority="17">
      <formula>G7&lt;10</formula>
    </cfRule>
  </conditionalFormatting>
  <conditionalFormatting sqref="G10">
    <cfRule type="expression" dxfId="8" priority="12">
      <formula>G10&gt;11</formula>
    </cfRule>
    <cfRule type="expression" dxfId="7" priority="13">
      <formula>G10&gt;=10</formula>
    </cfRule>
    <cfRule type="expression" dxfId="6" priority="14">
      <formula>G10&lt;10</formula>
    </cfRule>
  </conditionalFormatting>
  <conditionalFormatting sqref="I4">
    <cfRule type="expression" dxfId="5" priority="7">
      <formula>I4=H4</formula>
    </cfRule>
    <cfRule type="expression" dxfId="4" priority="8">
      <formula>I4&lt;H4</formula>
    </cfRule>
  </conditionalFormatting>
  <conditionalFormatting sqref="I7">
    <cfRule type="expression" dxfId="3" priority="5">
      <formula>I7=H7</formula>
    </cfRule>
    <cfRule type="expression" dxfId="2" priority="6">
      <formula>I7&lt;H7</formula>
    </cfRule>
  </conditionalFormatting>
  <conditionalFormatting sqref="I10">
    <cfRule type="expression" dxfId="1" priority="3">
      <formula>I10=H10</formula>
    </cfRule>
    <cfRule type="expression" dxfId="0" priority="4">
      <formula>I10&lt;H10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B0B24-345C-493D-AC8C-BBE3D2CBF90C}">
  <dimension ref="A1:G50"/>
  <sheetViews>
    <sheetView workbookViewId="0">
      <selection activeCell="E2" sqref="E2"/>
    </sheetView>
  </sheetViews>
  <sheetFormatPr baseColWidth="10" defaultRowHeight="14.4" x14ac:dyDescent="0.55000000000000004"/>
  <cols>
    <col min="2" max="2" width="43.3125" bestFit="1" customWidth="1"/>
    <col min="5" max="5" width="12.9453125" bestFit="1" customWidth="1"/>
    <col min="6" max="6" width="13.734375" bestFit="1" customWidth="1"/>
    <col min="7" max="7" width="33.4179687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  <row r="2" spans="1:7" x14ac:dyDescent="0.55000000000000004">
      <c r="A2" s="4"/>
      <c r="B2" s="4"/>
      <c r="C2" s="3"/>
      <c r="D2" s="5"/>
      <c r="E2" s="5"/>
      <c r="F2" s="5"/>
      <c r="G2" s="4"/>
    </row>
    <row r="3" spans="1:7" x14ac:dyDescent="0.55000000000000004">
      <c r="A3" s="4"/>
      <c r="B3" s="4"/>
      <c r="C3" s="3"/>
      <c r="D3" s="5"/>
      <c r="E3" s="5"/>
      <c r="F3" s="5"/>
      <c r="G3" s="4"/>
    </row>
    <row r="4" spans="1:7" x14ac:dyDescent="0.55000000000000004">
      <c r="A4" s="4"/>
      <c r="B4" s="4"/>
      <c r="C4" s="3"/>
      <c r="D4" s="5"/>
      <c r="E4" s="5"/>
      <c r="F4" s="5"/>
      <c r="G4" s="4"/>
    </row>
    <row r="5" spans="1:7" x14ac:dyDescent="0.55000000000000004">
      <c r="A5" s="4"/>
      <c r="B5" s="4"/>
      <c r="C5" s="3"/>
      <c r="D5" s="5"/>
      <c r="E5" s="5"/>
      <c r="F5" s="5"/>
      <c r="G5" s="4"/>
    </row>
    <row r="6" spans="1:7" x14ac:dyDescent="0.55000000000000004">
      <c r="A6" s="4"/>
      <c r="B6" s="4"/>
      <c r="C6" s="3"/>
      <c r="D6" s="5"/>
      <c r="E6" s="5"/>
      <c r="F6" s="5"/>
      <c r="G6" s="4"/>
    </row>
    <row r="7" spans="1:7" x14ac:dyDescent="0.55000000000000004">
      <c r="A7" s="4"/>
      <c r="B7" s="4"/>
      <c r="C7" s="3"/>
      <c r="D7" s="5"/>
      <c r="E7" s="5"/>
      <c r="F7" s="5"/>
      <c r="G7" s="4"/>
    </row>
    <row r="8" spans="1:7" x14ac:dyDescent="0.55000000000000004">
      <c r="A8" s="4"/>
      <c r="B8" s="4"/>
      <c r="C8" s="3"/>
      <c r="D8" s="5"/>
      <c r="E8" s="5"/>
      <c r="F8" s="5"/>
      <c r="G8" s="4"/>
    </row>
    <row r="9" spans="1:7" x14ac:dyDescent="0.55000000000000004">
      <c r="A9" s="4"/>
      <c r="B9" s="4"/>
      <c r="C9" s="3"/>
      <c r="D9" s="5"/>
      <c r="E9" s="5"/>
      <c r="F9" s="5"/>
      <c r="G9" s="4"/>
    </row>
    <row r="10" spans="1:7" x14ac:dyDescent="0.55000000000000004">
      <c r="A10" s="4"/>
      <c r="B10" s="4"/>
      <c r="C10" s="3"/>
      <c r="D10" s="5"/>
      <c r="E10" s="5"/>
      <c r="F10" s="5"/>
      <c r="G10" s="4"/>
    </row>
    <row r="11" spans="1:7" x14ac:dyDescent="0.55000000000000004">
      <c r="A11" s="4"/>
      <c r="B11" s="4"/>
      <c r="C11" s="3"/>
      <c r="D11" s="5"/>
      <c r="E11" s="5"/>
      <c r="F11" s="5"/>
      <c r="G11" s="4"/>
    </row>
    <row r="12" spans="1:7" x14ac:dyDescent="0.55000000000000004">
      <c r="A12" s="4"/>
      <c r="B12" s="4"/>
      <c r="C12" s="3"/>
      <c r="D12" s="5"/>
      <c r="E12" s="5"/>
      <c r="F12" s="5"/>
      <c r="G12" s="4"/>
    </row>
    <row r="13" spans="1:7" x14ac:dyDescent="0.55000000000000004">
      <c r="A13" s="4"/>
      <c r="B13" s="4"/>
      <c r="C13" s="3"/>
      <c r="D13" s="5"/>
      <c r="E13" s="5"/>
      <c r="F13" s="5"/>
      <c r="G13" s="4"/>
    </row>
    <row r="14" spans="1:7" x14ac:dyDescent="0.55000000000000004">
      <c r="A14" s="4"/>
      <c r="B14" s="4"/>
      <c r="C14" s="3"/>
      <c r="D14" s="5"/>
      <c r="E14" s="5"/>
      <c r="F14" s="5"/>
      <c r="G14" s="4"/>
    </row>
    <row r="15" spans="1:7" x14ac:dyDescent="0.55000000000000004">
      <c r="A15" s="4"/>
      <c r="B15" s="4"/>
      <c r="C15" s="3"/>
      <c r="D15" s="5"/>
      <c r="E15" s="5"/>
      <c r="F15" s="5"/>
      <c r="G15" s="4"/>
    </row>
    <row r="16" spans="1:7" x14ac:dyDescent="0.55000000000000004">
      <c r="A16" s="4"/>
      <c r="B16" s="4"/>
      <c r="C16" s="3"/>
      <c r="D16" s="5"/>
      <c r="E16" s="5"/>
      <c r="F16" s="5"/>
      <c r="G16" s="4"/>
    </row>
    <row r="17" spans="1:7" x14ac:dyDescent="0.55000000000000004">
      <c r="A17" s="4"/>
      <c r="B17" s="4"/>
      <c r="C17" s="3"/>
      <c r="D17" s="5"/>
      <c r="E17" s="5"/>
      <c r="F17" s="5"/>
      <c r="G17" s="4"/>
    </row>
    <row r="18" spans="1:7" x14ac:dyDescent="0.55000000000000004">
      <c r="A18" s="4"/>
      <c r="B18" s="4"/>
      <c r="C18" s="3"/>
      <c r="D18" s="5"/>
      <c r="E18" s="5"/>
      <c r="F18" s="5"/>
      <c r="G18" s="4"/>
    </row>
    <row r="19" spans="1:7" x14ac:dyDescent="0.55000000000000004">
      <c r="A19" s="4"/>
      <c r="B19" s="4"/>
      <c r="C19" s="3"/>
      <c r="D19" s="5"/>
      <c r="E19" s="5"/>
      <c r="F19" s="5"/>
      <c r="G19" s="4"/>
    </row>
    <row r="20" spans="1:7" x14ac:dyDescent="0.55000000000000004">
      <c r="A20" s="4"/>
      <c r="B20" s="4"/>
      <c r="C20" s="3"/>
      <c r="D20" s="5"/>
      <c r="E20" s="5"/>
      <c r="F20" s="5"/>
      <c r="G20" s="4"/>
    </row>
    <row r="21" spans="1:7" x14ac:dyDescent="0.55000000000000004">
      <c r="A21" s="4"/>
      <c r="B21" s="4"/>
      <c r="C21" s="3"/>
      <c r="D21" s="5"/>
      <c r="E21" s="5"/>
      <c r="F21" s="5"/>
      <c r="G21" s="4"/>
    </row>
    <row r="22" spans="1:7" x14ac:dyDescent="0.55000000000000004">
      <c r="A22" s="4"/>
      <c r="B22" s="4"/>
      <c r="C22" s="3"/>
      <c r="D22" s="5"/>
      <c r="E22" s="5"/>
      <c r="F22" s="5"/>
      <c r="G22" s="4"/>
    </row>
    <row r="23" spans="1:7" x14ac:dyDescent="0.55000000000000004">
      <c r="A23" s="4"/>
      <c r="B23" s="4"/>
      <c r="C23" s="3"/>
      <c r="D23" s="5"/>
      <c r="E23" s="5"/>
      <c r="F23" s="5"/>
      <c r="G23" s="4"/>
    </row>
    <row r="24" spans="1:7" x14ac:dyDescent="0.55000000000000004">
      <c r="A24" s="4"/>
      <c r="B24" s="4"/>
      <c r="C24" s="3"/>
      <c r="D24" s="5"/>
      <c r="E24" s="5"/>
      <c r="F24" s="5"/>
      <c r="G24" s="4"/>
    </row>
    <row r="25" spans="1:7" x14ac:dyDescent="0.55000000000000004">
      <c r="A25" s="4"/>
      <c r="B25" s="4"/>
      <c r="C25" s="3"/>
      <c r="D25" s="5"/>
      <c r="E25" s="5"/>
      <c r="F25" s="5"/>
      <c r="G25" s="4"/>
    </row>
    <row r="26" spans="1:7" x14ac:dyDescent="0.55000000000000004">
      <c r="A26" s="4"/>
      <c r="B26" s="4"/>
      <c r="C26" s="3"/>
      <c r="D26" s="5"/>
      <c r="E26" s="5"/>
      <c r="F26" s="5"/>
      <c r="G26" s="4"/>
    </row>
    <row r="27" spans="1:7" x14ac:dyDescent="0.55000000000000004">
      <c r="A27" s="4"/>
      <c r="B27" s="4"/>
      <c r="C27" s="3"/>
      <c r="D27" s="5"/>
      <c r="E27" s="5"/>
      <c r="F27" s="5"/>
      <c r="G27" s="4"/>
    </row>
    <row r="28" spans="1:7" x14ac:dyDescent="0.55000000000000004">
      <c r="A28" s="4"/>
      <c r="B28" s="4"/>
      <c r="C28" s="3"/>
      <c r="D28" s="5"/>
      <c r="E28" s="5"/>
      <c r="F28" s="5"/>
      <c r="G28" s="4"/>
    </row>
    <row r="29" spans="1:7" x14ac:dyDescent="0.55000000000000004">
      <c r="A29" s="4"/>
      <c r="B29" s="4"/>
      <c r="C29" s="3"/>
      <c r="D29" s="5"/>
      <c r="E29" s="5"/>
      <c r="F29" s="5"/>
      <c r="G29" s="4"/>
    </row>
    <row r="30" spans="1:7" x14ac:dyDescent="0.55000000000000004">
      <c r="A30" s="4"/>
      <c r="B30" s="4"/>
      <c r="C30" s="3"/>
      <c r="D30" s="5"/>
      <c r="E30" s="5"/>
      <c r="F30" s="5"/>
      <c r="G30" s="4"/>
    </row>
    <row r="31" spans="1:7" x14ac:dyDescent="0.55000000000000004">
      <c r="A31" s="4"/>
      <c r="B31" s="4"/>
      <c r="C31" s="3"/>
      <c r="D31" s="5"/>
      <c r="E31" s="5"/>
      <c r="F31" s="5"/>
      <c r="G31" s="4"/>
    </row>
    <row r="32" spans="1:7" x14ac:dyDescent="0.55000000000000004">
      <c r="A32" s="4"/>
      <c r="B32" s="4"/>
      <c r="C32" s="3"/>
      <c r="D32" s="5"/>
      <c r="E32" s="5"/>
      <c r="F32" s="5"/>
      <c r="G32" s="4"/>
    </row>
    <row r="33" spans="1:7" x14ac:dyDescent="0.55000000000000004">
      <c r="A33" s="4"/>
      <c r="B33" s="4"/>
      <c r="C33" s="3"/>
      <c r="D33" s="5"/>
      <c r="E33" s="5"/>
      <c r="F33" s="5"/>
      <c r="G33" s="4"/>
    </row>
    <row r="34" spans="1:7" x14ac:dyDescent="0.55000000000000004">
      <c r="A34" s="4"/>
      <c r="B34" s="4"/>
      <c r="C34" s="3"/>
      <c r="D34" s="5"/>
      <c r="E34" s="5"/>
      <c r="F34" s="5"/>
      <c r="G34" s="4"/>
    </row>
    <row r="35" spans="1:7" x14ac:dyDescent="0.55000000000000004">
      <c r="A35" s="4"/>
      <c r="B35" s="4"/>
      <c r="C35" s="3"/>
      <c r="D35" s="5"/>
      <c r="E35" s="5"/>
      <c r="F35" s="5"/>
      <c r="G35" s="4"/>
    </row>
    <row r="36" spans="1:7" x14ac:dyDescent="0.55000000000000004">
      <c r="A36" s="4"/>
      <c r="B36" s="4"/>
      <c r="C36" s="3"/>
      <c r="D36" s="5"/>
      <c r="E36" s="5"/>
      <c r="F36" s="5"/>
      <c r="G36" s="4"/>
    </row>
    <row r="37" spans="1:7" x14ac:dyDescent="0.55000000000000004">
      <c r="A37" s="4"/>
      <c r="B37" s="4"/>
      <c r="C37" s="3"/>
      <c r="D37" s="5"/>
      <c r="E37" s="5"/>
      <c r="F37" s="5"/>
      <c r="G37" s="4"/>
    </row>
    <row r="38" spans="1:7" x14ac:dyDescent="0.55000000000000004">
      <c r="A38" s="4"/>
      <c r="B38" s="4"/>
      <c r="C38" s="3"/>
      <c r="D38" s="5"/>
      <c r="E38" s="5"/>
      <c r="F38" s="5"/>
      <c r="G38" s="4"/>
    </row>
    <row r="39" spans="1:7" x14ac:dyDescent="0.55000000000000004">
      <c r="A39" s="4"/>
      <c r="B39" s="4"/>
      <c r="C39" s="3"/>
      <c r="D39" s="5"/>
      <c r="E39" s="5"/>
      <c r="F39" s="5"/>
      <c r="G39" s="4"/>
    </row>
    <row r="40" spans="1:7" x14ac:dyDescent="0.55000000000000004">
      <c r="A40" s="4"/>
      <c r="B40" s="4"/>
      <c r="C40" s="3"/>
      <c r="D40" s="5"/>
      <c r="E40" s="5"/>
      <c r="F40" s="5"/>
      <c r="G40" s="4"/>
    </row>
    <row r="41" spans="1:7" x14ac:dyDescent="0.55000000000000004">
      <c r="A41" s="4"/>
      <c r="B41" s="4"/>
      <c r="C41" s="3"/>
      <c r="D41" s="5"/>
      <c r="E41" s="5"/>
      <c r="F41" s="5"/>
      <c r="G41" s="4"/>
    </row>
    <row r="42" spans="1:7" x14ac:dyDescent="0.55000000000000004">
      <c r="A42" s="4"/>
      <c r="B42" s="4"/>
      <c r="C42" s="3"/>
      <c r="D42" s="5"/>
      <c r="E42" s="5"/>
      <c r="F42" s="5"/>
      <c r="G42" s="4"/>
    </row>
    <row r="43" spans="1:7" x14ac:dyDescent="0.55000000000000004">
      <c r="A43" s="4"/>
      <c r="B43" s="4"/>
      <c r="C43" s="3"/>
      <c r="D43" s="5"/>
      <c r="E43" s="5"/>
      <c r="F43" s="5"/>
      <c r="G43" s="4"/>
    </row>
    <row r="44" spans="1:7" x14ac:dyDescent="0.55000000000000004">
      <c r="A44" s="4"/>
      <c r="B44" s="4"/>
      <c r="C44" s="3"/>
      <c r="D44" s="5"/>
      <c r="E44" s="5"/>
      <c r="F44" s="5"/>
      <c r="G44" s="4"/>
    </row>
    <row r="45" spans="1:7" x14ac:dyDescent="0.55000000000000004">
      <c r="A45" s="4"/>
      <c r="B45" s="4"/>
      <c r="C45" s="3"/>
      <c r="D45" s="5"/>
      <c r="E45" s="5"/>
      <c r="F45" s="5"/>
      <c r="G45" s="4"/>
    </row>
    <row r="46" spans="1:7" x14ac:dyDescent="0.55000000000000004">
      <c r="A46" s="4"/>
      <c r="B46" s="4"/>
      <c r="C46" s="3"/>
      <c r="D46" s="5"/>
      <c r="E46" s="5"/>
      <c r="F46" s="5"/>
      <c r="G46" s="4"/>
    </row>
    <row r="47" spans="1:7" x14ac:dyDescent="0.55000000000000004">
      <c r="A47" s="4"/>
      <c r="B47" s="4"/>
      <c r="C47" s="3"/>
      <c r="D47" s="5"/>
      <c r="E47" s="5"/>
      <c r="F47" s="5"/>
      <c r="G47" s="4"/>
    </row>
    <row r="48" spans="1:7" x14ac:dyDescent="0.55000000000000004">
      <c r="A48" s="4"/>
      <c r="B48" s="4"/>
      <c r="C48" s="3"/>
      <c r="D48" s="5"/>
      <c r="E48" s="5"/>
      <c r="F48" s="5"/>
      <c r="G48" s="4"/>
    </row>
    <row r="49" spans="1:7" x14ac:dyDescent="0.55000000000000004">
      <c r="A49" s="4"/>
      <c r="B49" s="4"/>
      <c r="C49" s="3"/>
      <c r="D49" s="5"/>
      <c r="E49" s="5"/>
      <c r="F49" s="5"/>
      <c r="G49" s="4"/>
    </row>
    <row r="50" spans="1:7" x14ac:dyDescent="0.55000000000000004">
      <c r="A50" s="4"/>
      <c r="B50" s="4"/>
      <c r="C50" s="3"/>
      <c r="D50" s="5"/>
      <c r="E50" s="5"/>
      <c r="F50" s="5"/>
      <c r="G50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E80B24F-9EE1-4739-A08A-ECB43006F5D8}">
          <x14:formula1>
            <xm:f>'Menus déroulants'!$D$2:$D$34</xm:f>
          </x14:formula1>
          <xm:sqref>B2:B50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F7E44-395A-44F6-BDBF-D049B14F0A26}">
  <dimension ref="G1:O18"/>
  <sheetViews>
    <sheetView topLeftCell="G1" workbookViewId="0">
      <selection activeCell="G2" sqref="G2"/>
    </sheetView>
  </sheetViews>
  <sheetFormatPr baseColWidth="10" defaultRowHeight="14.4" x14ac:dyDescent="0.55000000000000004"/>
  <cols>
    <col min="7" max="7" width="33.3671875" bestFit="1" customWidth="1"/>
    <col min="8" max="8" width="10.26171875" bestFit="1" customWidth="1"/>
    <col min="9" max="9" width="6.83984375" bestFit="1" customWidth="1"/>
    <col min="11" max="11" width="7.9453125" bestFit="1" customWidth="1"/>
    <col min="12" max="12" width="7" bestFit="1" customWidth="1"/>
    <col min="13" max="13" width="10.89453125" bestFit="1" customWidth="1"/>
    <col min="14" max="14" width="18.3125" bestFit="1" customWidth="1"/>
    <col min="15" max="15" width="18.1015625" bestFit="1" customWidth="1"/>
  </cols>
  <sheetData>
    <row r="1" spans="7:15" ht="26.4" x14ac:dyDescent="1">
      <c r="G1" s="6" t="s">
        <v>290</v>
      </c>
      <c r="H1" s="7"/>
    </row>
    <row r="2" spans="7:15" ht="40.5" customHeight="1" x14ac:dyDescent="0.75">
      <c r="G2" s="8" t="s">
        <v>189</v>
      </c>
      <c r="H2" s="9" t="s">
        <v>299</v>
      </c>
      <c r="I2" s="9" t="s">
        <v>297</v>
      </c>
      <c r="J2" s="8"/>
      <c r="K2" s="8" t="s">
        <v>191</v>
      </c>
      <c r="L2" s="9" t="s">
        <v>298</v>
      </c>
      <c r="M2" s="9" t="s">
        <v>222</v>
      </c>
      <c r="N2" s="9" t="s">
        <v>282</v>
      </c>
      <c r="O2" s="9" t="s">
        <v>286</v>
      </c>
    </row>
    <row r="14" spans="7:15" x14ac:dyDescent="0.55000000000000004">
      <c r="G14" s="7" t="s">
        <v>219</v>
      </c>
    </row>
    <row r="15" spans="7:15" x14ac:dyDescent="0.55000000000000004">
      <c r="G15" s="7" t="s">
        <v>220</v>
      </c>
    </row>
    <row r="16" spans="7:15" x14ac:dyDescent="0.55000000000000004">
      <c r="G16" s="7" t="s">
        <v>221</v>
      </c>
    </row>
    <row r="17" spans="7:7" x14ac:dyDescent="0.55000000000000004">
      <c r="G17" s="7" t="s">
        <v>280</v>
      </c>
    </row>
    <row r="18" spans="7:7" x14ac:dyDescent="0.55000000000000004">
      <c r="G18" s="7" t="s">
        <v>281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350B5-E485-486B-863B-32129F14BD99}">
  <dimension ref="A1:G50"/>
  <sheetViews>
    <sheetView workbookViewId="0">
      <selection activeCell="B2" sqref="B2"/>
    </sheetView>
  </sheetViews>
  <sheetFormatPr baseColWidth="10" defaultRowHeight="14.4" x14ac:dyDescent="0.55000000000000004"/>
  <cols>
    <col min="2" max="2" width="59.68359375" bestFit="1" customWidth="1"/>
    <col min="5" max="5" width="12.9453125" customWidth="1"/>
    <col min="6" max="6" width="13.734375" bestFit="1" customWidth="1"/>
    <col min="7" max="7" width="32.57812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  <row r="2" spans="1:7" x14ac:dyDescent="0.55000000000000004">
      <c r="A2" s="4"/>
      <c r="B2" s="4"/>
      <c r="C2" s="3"/>
      <c r="D2" s="5"/>
      <c r="E2" s="5"/>
      <c r="F2" s="5"/>
    </row>
    <row r="3" spans="1:7" x14ac:dyDescent="0.55000000000000004">
      <c r="A3" s="4"/>
      <c r="B3" s="4"/>
      <c r="C3" s="3"/>
      <c r="D3" s="5"/>
      <c r="E3" s="5"/>
      <c r="F3" s="5"/>
    </row>
    <row r="4" spans="1:7" x14ac:dyDescent="0.55000000000000004">
      <c r="A4" s="4"/>
      <c r="B4" s="4"/>
      <c r="C4" s="3"/>
      <c r="D4" s="5"/>
      <c r="E4" s="5"/>
      <c r="F4" s="5"/>
    </row>
    <row r="5" spans="1:7" x14ac:dyDescent="0.55000000000000004">
      <c r="A5" s="4"/>
      <c r="B5" s="4"/>
      <c r="C5" s="3"/>
      <c r="D5" s="5"/>
      <c r="E5" s="5"/>
      <c r="F5" s="5"/>
    </row>
    <row r="6" spans="1:7" x14ac:dyDescent="0.55000000000000004">
      <c r="A6" s="4"/>
      <c r="B6" s="4"/>
      <c r="C6" s="3"/>
      <c r="D6" s="5"/>
      <c r="E6" s="5"/>
      <c r="F6" s="5"/>
    </row>
    <row r="7" spans="1:7" x14ac:dyDescent="0.55000000000000004">
      <c r="A7" s="4"/>
      <c r="B7" s="4"/>
      <c r="C7" s="3"/>
      <c r="D7" s="5"/>
      <c r="E7" s="5"/>
      <c r="F7" s="5"/>
    </row>
    <row r="8" spans="1:7" x14ac:dyDescent="0.55000000000000004">
      <c r="A8" s="4"/>
      <c r="B8" s="4"/>
      <c r="C8" s="3"/>
      <c r="D8" s="5"/>
      <c r="E8" s="5"/>
      <c r="F8" s="5"/>
    </row>
    <row r="9" spans="1:7" x14ac:dyDescent="0.55000000000000004">
      <c r="A9" s="4"/>
      <c r="B9" s="4"/>
      <c r="C9" s="3"/>
      <c r="D9" s="5"/>
      <c r="E9" s="5"/>
      <c r="F9" s="5"/>
    </row>
    <row r="10" spans="1:7" x14ac:dyDescent="0.55000000000000004">
      <c r="A10" s="4"/>
      <c r="B10" s="4"/>
      <c r="C10" s="3"/>
      <c r="D10" s="5"/>
      <c r="E10" s="5"/>
      <c r="F10" s="5"/>
    </row>
    <row r="11" spans="1:7" x14ac:dyDescent="0.55000000000000004">
      <c r="A11" s="4"/>
      <c r="B11" s="4"/>
      <c r="C11" s="3"/>
      <c r="D11" s="5"/>
      <c r="E11" s="5"/>
      <c r="F11" s="5"/>
    </row>
    <row r="12" spans="1:7" x14ac:dyDescent="0.55000000000000004">
      <c r="A12" s="4"/>
      <c r="B12" s="4"/>
      <c r="C12" s="3"/>
      <c r="D12" s="5"/>
      <c r="E12" s="5"/>
      <c r="F12" s="5"/>
    </row>
    <row r="13" spans="1:7" x14ac:dyDescent="0.55000000000000004">
      <c r="A13" s="4"/>
      <c r="B13" s="4"/>
      <c r="C13" s="3"/>
      <c r="D13" s="5"/>
      <c r="E13" s="5"/>
      <c r="F13" s="5"/>
    </row>
    <row r="14" spans="1:7" x14ac:dyDescent="0.55000000000000004">
      <c r="A14" s="4"/>
      <c r="B14" s="4"/>
      <c r="C14" s="3"/>
      <c r="D14" s="5"/>
      <c r="E14" s="5"/>
      <c r="F14" s="5"/>
    </row>
    <row r="15" spans="1:7" x14ac:dyDescent="0.55000000000000004">
      <c r="A15" s="4"/>
      <c r="B15" s="4"/>
      <c r="C15" s="3"/>
      <c r="D15" s="5"/>
      <c r="E15" s="5"/>
      <c r="F15" s="5"/>
    </row>
    <row r="16" spans="1:7" x14ac:dyDescent="0.55000000000000004">
      <c r="A16" s="4"/>
      <c r="B16" s="4"/>
      <c r="C16" s="3"/>
      <c r="D16" s="5"/>
      <c r="E16" s="5"/>
      <c r="F16" s="5"/>
    </row>
    <row r="17" spans="1:6" x14ac:dyDescent="0.55000000000000004">
      <c r="A17" s="4"/>
      <c r="B17" s="4"/>
      <c r="C17" s="3"/>
      <c r="D17" s="5"/>
      <c r="E17" s="5"/>
      <c r="F17" s="5"/>
    </row>
    <row r="18" spans="1:6" x14ac:dyDescent="0.55000000000000004">
      <c r="A18" s="4"/>
      <c r="B18" s="4"/>
      <c r="C18" s="3"/>
      <c r="D18" s="5"/>
      <c r="E18" s="5"/>
      <c r="F18" s="5"/>
    </row>
    <row r="19" spans="1:6" x14ac:dyDescent="0.55000000000000004">
      <c r="A19" s="4"/>
      <c r="B19" s="4"/>
      <c r="C19" s="3"/>
      <c r="D19" s="5"/>
      <c r="E19" s="5"/>
      <c r="F19" s="5"/>
    </row>
    <row r="20" spans="1:6" x14ac:dyDescent="0.55000000000000004">
      <c r="A20" s="4"/>
      <c r="B20" s="4"/>
      <c r="C20" s="3"/>
      <c r="D20" s="5"/>
      <c r="E20" s="5"/>
      <c r="F20" s="5"/>
    </row>
    <row r="21" spans="1:6" x14ac:dyDescent="0.55000000000000004">
      <c r="A21" s="4"/>
      <c r="B21" s="4"/>
      <c r="C21" s="3"/>
      <c r="D21" s="5"/>
      <c r="E21" s="5"/>
      <c r="F21" s="5"/>
    </row>
    <row r="22" spans="1:6" x14ac:dyDescent="0.55000000000000004">
      <c r="A22" s="4"/>
      <c r="B22" s="4"/>
      <c r="C22" s="3"/>
      <c r="D22" s="5"/>
      <c r="E22" s="5"/>
      <c r="F22" s="5"/>
    </row>
    <row r="23" spans="1:6" x14ac:dyDescent="0.55000000000000004">
      <c r="A23" s="4"/>
      <c r="B23" s="4"/>
      <c r="C23" s="3"/>
      <c r="D23" s="5"/>
      <c r="E23" s="5"/>
      <c r="F23" s="5"/>
    </row>
    <row r="24" spans="1:6" x14ac:dyDescent="0.55000000000000004">
      <c r="A24" s="4"/>
      <c r="B24" s="4"/>
      <c r="C24" s="3"/>
      <c r="D24" s="5"/>
      <c r="E24" s="5"/>
      <c r="F24" s="5"/>
    </row>
    <row r="25" spans="1:6" x14ac:dyDescent="0.55000000000000004">
      <c r="A25" s="4"/>
      <c r="B25" s="4"/>
      <c r="C25" s="3"/>
      <c r="D25" s="5"/>
      <c r="E25" s="5"/>
      <c r="F25" s="5"/>
    </row>
    <row r="26" spans="1:6" x14ac:dyDescent="0.55000000000000004">
      <c r="A26" s="4"/>
      <c r="B26" s="4"/>
      <c r="C26" s="3"/>
      <c r="D26" s="5"/>
      <c r="E26" s="5"/>
      <c r="F26" s="5"/>
    </row>
    <row r="27" spans="1:6" x14ac:dyDescent="0.55000000000000004">
      <c r="A27" s="4"/>
      <c r="B27" s="4"/>
      <c r="C27" s="3"/>
      <c r="D27" s="5"/>
      <c r="E27" s="5"/>
      <c r="F27" s="5"/>
    </row>
    <row r="28" spans="1:6" x14ac:dyDescent="0.55000000000000004">
      <c r="A28" s="4"/>
      <c r="B28" s="4"/>
      <c r="C28" s="3"/>
      <c r="D28" s="5"/>
      <c r="E28" s="5"/>
      <c r="F28" s="5"/>
    </row>
    <row r="29" spans="1:6" x14ac:dyDescent="0.55000000000000004">
      <c r="A29" s="4"/>
      <c r="B29" s="4"/>
      <c r="C29" s="3"/>
      <c r="D29" s="5"/>
      <c r="E29" s="5"/>
      <c r="F29" s="5"/>
    </row>
    <row r="30" spans="1:6" x14ac:dyDescent="0.55000000000000004">
      <c r="A30" s="4"/>
      <c r="B30" s="4"/>
      <c r="C30" s="3"/>
      <c r="D30" s="5"/>
      <c r="E30" s="5"/>
      <c r="F30" s="5"/>
    </row>
    <row r="31" spans="1:6" x14ac:dyDescent="0.55000000000000004">
      <c r="A31" s="4"/>
      <c r="B31" s="4"/>
      <c r="C31" s="3"/>
      <c r="D31" s="5"/>
      <c r="E31" s="5"/>
      <c r="F31" s="5"/>
    </row>
    <row r="32" spans="1:6" x14ac:dyDescent="0.55000000000000004">
      <c r="A32" s="4"/>
      <c r="B32" s="4"/>
      <c r="C32" s="3"/>
      <c r="D32" s="5"/>
      <c r="E32" s="5"/>
      <c r="F32" s="5"/>
    </row>
    <row r="33" spans="1:6" x14ac:dyDescent="0.55000000000000004">
      <c r="A33" s="4"/>
      <c r="B33" s="4"/>
      <c r="C33" s="3"/>
      <c r="D33" s="5"/>
      <c r="E33" s="5"/>
      <c r="F33" s="5"/>
    </row>
    <row r="34" spans="1:6" x14ac:dyDescent="0.55000000000000004">
      <c r="A34" s="4"/>
      <c r="B34" s="4"/>
      <c r="C34" s="3"/>
      <c r="D34" s="5"/>
      <c r="E34" s="5"/>
      <c r="F34" s="5"/>
    </row>
    <row r="35" spans="1:6" x14ac:dyDescent="0.55000000000000004">
      <c r="A35" s="4"/>
      <c r="B35" s="4"/>
      <c r="C35" s="3"/>
      <c r="D35" s="5"/>
      <c r="E35" s="5"/>
      <c r="F35" s="5"/>
    </row>
    <row r="36" spans="1:6" x14ac:dyDescent="0.55000000000000004">
      <c r="A36" s="4"/>
      <c r="B36" s="4"/>
      <c r="C36" s="3"/>
      <c r="D36" s="5"/>
      <c r="E36" s="5"/>
      <c r="F36" s="5"/>
    </row>
    <row r="37" spans="1:6" x14ac:dyDescent="0.55000000000000004">
      <c r="A37" s="4"/>
      <c r="B37" s="4"/>
      <c r="C37" s="3"/>
      <c r="D37" s="5"/>
      <c r="E37" s="5"/>
      <c r="F37" s="5"/>
    </row>
    <row r="38" spans="1:6" x14ac:dyDescent="0.55000000000000004">
      <c r="A38" s="4"/>
      <c r="B38" s="4"/>
      <c r="C38" s="3"/>
      <c r="D38" s="5"/>
      <c r="E38" s="5"/>
      <c r="F38" s="5"/>
    </row>
    <row r="39" spans="1:6" x14ac:dyDescent="0.55000000000000004">
      <c r="A39" s="4"/>
      <c r="B39" s="4"/>
      <c r="C39" s="3"/>
      <c r="D39" s="5"/>
      <c r="E39" s="5"/>
      <c r="F39" s="5"/>
    </row>
    <row r="40" spans="1:6" x14ac:dyDescent="0.55000000000000004">
      <c r="A40" s="4"/>
      <c r="B40" s="4"/>
      <c r="C40" s="3"/>
      <c r="D40" s="5"/>
      <c r="E40" s="5"/>
      <c r="F40" s="5"/>
    </row>
    <row r="41" spans="1:6" x14ac:dyDescent="0.55000000000000004">
      <c r="A41" s="4"/>
      <c r="B41" s="4"/>
      <c r="C41" s="3"/>
      <c r="D41" s="5"/>
      <c r="E41" s="5"/>
      <c r="F41" s="5"/>
    </row>
    <row r="42" spans="1:6" x14ac:dyDescent="0.55000000000000004">
      <c r="A42" s="4"/>
      <c r="B42" s="4"/>
      <c r="C42" s="3"/>
      <c r="D42" s="5"/>
      <c r="E42" s="5"/>
      <c r="F42" s="5"/>
    </row>
    <row r="43" spans="1:6" x14ac:dyDescent="0.55000000000000004">
      <c r="A43" s="4"/>
      <c r="B43" s="4"/>
      <c r="C43" s="3"/>
      <c r="D43" s="5"/>
      <c r="E43" s="5"/>
      <c r="F43" s="5"/>
    </row>
    <row r="44" spans="1:6" x14ac:dyDescent="0.55000000000000004">
      <c r="A44" s="4"/>
      <c r="B44" s="4"/>
      <c r="C44" s="3"/>
      <c r="D44" s="5"/>
      <c r="E44" s="5"/>
      <c r="F44" s="5"/>
    </row>
    <row r="45" spans="1:6" x14ac:dyDescent="0.55000000000000004">
      <c r="A45" s="4"/>
      <c r="B45" s="4"/>
      <c r="C45" s="3"/>
      <c r="D45" s="5"/>
      <c r="E45" s="5"/>
      <c r="F45" s="5"/>
    </row>
    <row r="46" spans="1:6" x14ac:dyDescent="0.55000000000000004">
      <c r="A46" s="4"/>
      <c r="B46" s="4"/>
      <c r="C46" s="3"/>
      <c r="D46" s="5"/>
      <c r="E46" s="5"/>
      <c r="F46" s="5"/>
    </row>
    <row r="47" spans="1:6" x14ac:dyDescent="0.55000000000000004">
      <c r="A47" s="4"/>
      <c r="B47" s="4"/>
      <c r="C47" s="3"/>
      <c r="D47" s="5"/>
      <c r="E47" s="5"/>
      <c r="F47" s="5"/>
    </row>
    <row r="48" spans="1:6" x14ac:dyDescent="0.55000000000000004">
      <c r="A48" s="4"/>
      <c r="B48" s="4"/>
      <c r="C48" s="3"/>
      <c r="D48" s="5"/>
      <c r="E48" s="5"/>
      <c r="F48" s="5"/>
    </row>
    <row r="49" spans="1:6" x14ac:dyDescent="0.55000000000000004">
      <c r="A49" s="4"/>
      <c r="B49" s="4"/>
      <c r="C49" s="3"/>
      <c r="D49" s="5"/>
      <c r="E49" s="5"/>
      <c r="F49" s="5"/>
    </row>
    <row r="50" spans="1:6" x14ac:dyDescent="0.55000000000000004">
      <c r="A50" s="4"/>
      <c r="B50" s="4"/>
      <c r="C50" s="3"/>
      <c r="D50" s="5"/>
      <c r="E50" s="5"/>
      <c r="F50" s="5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306AC81-BEFB-4995-BA29-09BF0649FE8D}">
          <x14:formula1>
            <xm:f>'Menus déroulants'!$E$2:$E$35</xm:f>
          </x14:formula1>
          <xm:sqref>B2:B50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09F6D-42B2-4200-ADA8-2D3AF2A4190D}">
  <dimension ref="A1:I14"/>
  <sheetViews>
    <sheetView workbookViewId="0">
      <selection activeCell="I3" sqref="I3"/>
    </sheetView>
  </sheetViews>
  <sheetFormatPr baseColWidth="10" defaultRowHeight="14.4" x14ac:dyDescent="0.55000000000000004"/>
  <cols>
    <col min="1" max="1" width="33.3671875" bestFit="1" customWidth="1"/>
    <col min="2" max="2" width="10.26171875" bestFit="1" customWidth="1"/>
    <col min="3" max="3" width="7.3125" customWidth="1"/>
    <col min="5" max="5" width="7.9453125" bestFit="1" customWidth="1"/>
    <col min="6" max="6" width="7" bestFit="1" customWidth="1"/>
    <col min="7" max="7" width="10.89453125" bestFit="1" customWidth="1"/>
    <col min="8" max="8" width="18.3125" bestFit="1" customWidth="1"/>
    <col min="9" max="9" width="18.1015625" bestFit="1" customWidth="1"/>
  </cols>
  <sheetData>
    <row r="1" spans="1:9" ht="26.4" x14ac:dyDescent="1">
      <c r="A1" s="6" t="s">
        <v>289</v>
      </c>
      <c r="B1" s="7"/>
    </row>
    <row r="2" spans="1:9" ht="39" x14ac:dyDescent="0.75">
      <c r="A2" s="8" t="s">
        <v>189</v>
      </c>
      <c r="B2" s="9" t="s">
        <v>299</v>
      </c>
      <c r="C2" s="9" t="s">
        <v>297</v>
      </c>
      <c r="D2" s="8"/>
      <c r="E2" s="8" t="s">
        <v>191</v>
      </c>
      <c r="F2" s="9" t="s">
        <v>298</v>
      </c>
      <c r="G2" s="9" t="s">
        <v>300</v>
      </c>
      <c r="H2" s="9" t="s">
        <v>282</v>
      </c>
      <c r="I2" s="9" t="s">
        <v>286</v>
      </c>
    </row>
    <row r="10" spans="1:9" x14ac:dyDescent="0.55000000000000004">
      <c r="A10" s="7" t="s">
        <v>219</v>
      </c>
    </row>
    <row r="11" spans="1:9" x14ac:dyDescent="0.55000000000000004">
      <c r="A11" s="7" t="s">
        <v>220</v>
      </c>
    </row>
    <row r="12" spans="1:9" x14ac:dyDescent="0.55000000000000004">
      <c r="A12" s="7" t="s">
        <v>221</v>
      </c>
    </row>
    <row r="13" spans="1:9" x14ac:dyDescent="0.55000000000000004">
      <c r="A13" s="7" t="s">
        <v>280</v>
      </c>
    </row>
    <row r="14" spans="1:9" x14ac:dyDescent="0.55000000000000004">
      <c r="A14" s="7" t="s">
        <v>281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8515E-B9C0-4DC7-BE4D-798EACC5AD3F}">
  <dimension ref="A1:G1"/>
  <sheetViews>
    <sheetView workbookViewId="0">
      <selection activeCell="B2" sqref="B2"/>
    </sheetView>
  </sheetViews>
  <sheetFormatPr baseColWidth="10" defaultRowHeight="14.4" x14ac:dyDescent="0.55000000000000004"/>
  <cols>
    <col min="2" max="2" width="42.89453125" customWidth="1"/>
    <col min="5" max="5" width="12.9453125" bestFit="1" customWidth="1"/>
    <col min="6" max="6" width="13.734375" bestFit="1" customWidth="1"/>
    <col min="7" max="7" width="44.1015625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B99883D-06B0-4BB8-9C11-164225740E9E}">
          <x14:formula1>
            <xm:f>'Menus déroulants'!$F$2:$F$32</xm:f>
          </x14:formula1>
          <xm:sqref>B2:B50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0E1C8-E225-4D19-B667-0CAC3DACB6B5}">
  <dimension ref="A1:I14"/>
  <sheetViews>
    <sheetView workbookViewId="0">
      <selection activeCell="I3" sqref="I3"/>
    </sheetView>
  </sheetViews>
  <sheetFormatPr baseColWidth="10" defaultRowHeight="14.4" x14ac:dyDescent="0.55000000000000004"/>
  <cols>
    <col min="1" max="1" width="33.3671875" bestFit="1" customWidth="1"/>
    <col min="2" max="2" width="10.26171875" bestFit="1" customWidth="1"/>
    <col min="3" max="3" width="6.89453125" bestFit="1" customWidth="1"/>
    <col min="5" max="5" width="7.9453125" bestFit="1" customWidth="1"/>
    <col min="6" max="6" width="6.89453125" bestFit="1" customWidth="1"/>
    <col min="7" max="7" width="10.89453125" bestFit="1" customWidth="1"/>
    <col min="8" max="8" width="18.3125" bestFit="1" customWidth="1"/>
    <col min="9" max="9" width="18.1015625" bestFit="1" customWidth="1"/>
  </cols>
  <sheetData>
    <row r="1" spans="1:9" ht="26.4" x14ac:dyDescent="1">
      <c r="A1" s="6" t="s">
        <v>288</v>
      </c>
      <c r="B1" s="7"/>
    </row>
    <row r="2" spans="1:9" ht="37.200000000000003" customHeight="1" x14ac:dyDescent="0.75">
      <c r="A2" s="8" t="s">
        <v>189</v>
      </c>
      <c r="B2" s="9" t="s">
        <v>296</v>
      </c>
      <c r="C2" s="9" t="s">
        <v>297</v>
      </c>
      <c r="D2" s="8"/>
      <c r="E2" s="8" t="s">
        <v>191</v>
      </c>
      <c r="F2" s="9" t="s">
        <v>298</v>
      </c>
      <c r="G2" s="9" t="s">
        <v>222</v>
      </c>
      <c r="H2" s="9" t="s">
        <v>282</v>
      </c>
      <c r="I2" s="9" t="s">
        <v>286</v>
      </c>
    </row>
    <row r="10" spans="1:9" x14ac:dyDescent="0.55000000000000004">
      <c r="A10" s="7" t="s">
        <v>219</v>
      </c>
    </row>
    <row r="11" spans="1:9" x14ac:dyDescent="0.55000000000000004">
      <c r="A11" s="7" t="s">
        <v>220</v>
      </c>
    </row>
    <row r="12" spans="1:9" x14ac:dyDescent="0.55000000000000004">
      <c r="A12" s="7" t="s">
        <v>221</v>
      </c>
    </row>
    <row r="13" spans="1:9" x14ac:dyDescent="0.55000000000000004">
      <c r="A13" s="7" t="s">
        <v>280</v>
      </c>
    </row>
    <row r="14" spans="1:9" x14ac:dyDescent="0.55000000000000004">
      <c r="A14" s="7" t="s">
        <v>281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17DFD-3C07-4F9B-9150-4DBE40ED4BCC}">
  <dimension ref="A1:G1"/>
  <sheetViews>
    <sheetView workbookViewId="0">
      <selection activeCell="B2" sqref="B2"/>
    </sheetView>
  </sheetViews>
  <sheetFormatPr baseColWidth="10" defaultRowHeight="14.4" x14ac:dyDescent="0.55000000000000004"/>
  <cols>
    <col min="2" max="2" width="40.3125" bestFit="1" customWidth="1"/>
    <col min="5" max="5" width="12.9453125" bestFit="1" customWidth="1"/>
    <col min="6" max="6" width="13.734375" bestFit="1" customWidth="1"/>
    <col min="7" max="7" width="44" customWidth="1"/>
  </cols>
  <sheetData>
    <row r="1" spans="1:7" x14ac:dyDescent="0.55000000000000004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09E0308-3540-48A5-BD18-9149B3FCC730}">
          <x14:formula1>
            <xm:f>'Menus déroulants'!$G$2:$G$29</xm:f>
          </x14:formula1>
          <xm:sqref>B2:B50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22</vt:i4>
      </vt:variant>
    </vt:vector>
  </HeadingPairs>
  <TitlesOfParts>
    <vt:vector size="22" baseType="lpstr">
      <vt:lpstr>Read me</vt:lpstr>
      <vt:lpstr>Menus déroulants</vt:lpstr>
      <vt:lpstr>Notes S1</vt:lpstr>
      <vt:lpstr>Bulletin S1</vt:lpstr>
      <vt:lpstr>Notes S2</vt:lpstr>
      <vt:lpstr>Bulletin S2</vt:lpstr>
      <vt:lpstr>Notes S3</vt:lpstr>
      <vt:lpstr>Bulletin S3</vt:lpstr>
      <vt:lpstr>Notes S4</vt:lpstr>
      <vt:lpstr>Bulletin S4</vt:lpstr>
      <vt:lpstr>Notes S5</vt:lpstr>
      <vt:lpstr>Bulletin S5</vt:lpstr>
      <vt:lpstr>Notes S6</vt:lpstr>
      <vt:lpstr>Bulletin S6</vt:lpstr>
      <vt:lpstr>Notes S7</vt:lpstr>
      <vt:lpstr>Bulletin S7</vt:lpstr>
      <vt:lpstr>Notes S8</vt:lpstr>
      <vt:lpstr>Bulletin S8</vt:lpstr>
      <vt:lpstr>Notes S9</vt:lpstr>
      <vt:lpstr>Bulletin S9</vt:lpstr>
      <vt:lpstr>Notes S10</vt:lpstr>
      <vt:lpstr>Bulletin S10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GROSSMANN--LE MAUGUEN (M1_NANTES TC)</dc:creator>
  <cp:lastModifiedBy>Arthur GROSSMANN--LE MAUGUEN (M1_NANTES TC)</cp:lastModifiedBy>
  <dcterms:created xsi:type="dcterms:W3CDTF">2025-02-24T14:52:18Z</dcterms:created>
  <dcterms:modified xsi:type="dcterms:W3CDTF">2025-03-10T16:31:26Z</dcterms:modified>
</cp:coreProperties>
</file>