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42C94C28-969D-49BA-91D0-AA30727BC324}" xr6:coauthVersionLast="47" xr6:coauthVersionMax="47" xr10:uidLastSave="{00000000-0000-0000-0000-000000000000}"/>
  <bookViews>
    <workbookView xWindow="-96" yWindow="-96" windowWidth="17472" windowHeight="10992" tabRatio="851" firstSheet="14" activeTab="21" xr2:uid="{F3516D6A-EC28-40DF-9BC6-39873143E270}"/>
  </bookViews>
  <sheets>
    <sheet name="Read me" sheetId="21" r:id="rId1"/>
    <sheet name="Menus déroulants" sheetId="22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2" l="1"/>
  <c r="I28" i="12"/>
  <c r="I23" i="12"/>
  <c r="I14" i="12"/>
  <c r="I9" i="12"/>
  <c r="I4" i="12"/>
  <c r="I4" i="14"/>
  <c r="B36" i="14"/>
  <c r="B37" i="12"/>
  <c r="B35" i="14"/>
  <c r="I14" i="14"/>
  <c r="I4" i="16"/>
  <c r="B22" i="16" s="1"/>
  <c r="I15" i="16"/>
  <c r="I8" i="16"/>
  <c r="I4" i="18"/>
  <c r="B21" i="16"/>
  <c r="B34" i="18"/>
  <c r="I21" i="18"/>
  <c r="I16" i="18"/>
  <c r="I11" i="18"/>
  <c r="I4" i="19"/>
  <c r="E26" i="18"/>
  <c r="E21" i="18"/>
  <c r="E16" i="18"/>
  <c r="E11" i="18"/>
  <c r="E4" i="18"/>
  <c r="E12" i="21"/>
  <c r="H4" i="19"/>
  <c r="H7" i="19"/>
  <c r="H10" i="19"/>
  <c r="C11" i="19"/>
  <c r="E4" i="14"/>
  <c r="B19" i="16"/>
  <c r="B18" i="16"/>
  <c r="C31" i="18"/>
  <c r="B31" i="18"/>
  <c r="C9" i="18"/>
  <c r="C8" i="18"/>
  <c r="B9" i="18"/>
  <c r="B8" i="18"/>
  <c r="B11" i="19"/>
  <c r="E10" i="19"/>
  <c r="B8" i="19"/>
  <c r="E7" i="19"/>
  <c r="E4" i="19"/>
  <c r="C8" i="19"/>
  <c r="C5" i="19"/>
  <c r="B5" i="19"/>
  <c r="E4" i="10"/>
  <c r="C46" i="10"/>
  <c r="C41" i="10"/>
  <c r="C36" i="10"/>
  <c r="C33" i="10"/>
  <c r="C32" i="10"/>
  <c r="E32" i="10" s="1"/>
  <c r="B32" i="10"/>
  <c r="C28" i="10"/>
  <c r="C21" i="10"/>
  <c r="E20" i="10"/>
  <c r="G20" i="10" s="1"/>
  <c r="B20" i="10"/>
  <c r="C14" i="10"/>
  <c r="C12" i="10"/>
  <c r="E11" i="10"/>
  <c r="G11" i="10" s="1"/>
  <c r="B11" i="10"/>
  <c r="C8" i="10"/>
  <c r="C4" i="10" s="1"/>
  <c r="C7" i="10"/>
  <c r="C6" i="10"/>
  <c r="C5" i="10"/>
  <c r="G4" i="10"/>
  <c r="B4" i="10"/>
  <c r="C9" i="12"/>
  <c r="C14" i="12"/>
  <c r="C28" i="12"/>
  <c r="B28" i="12"/>
  <c r="E23" i="12"/>
  <c r="G23" i="12" s="1"/>
  <c r="C23" i="12"/>
  <c r="B23" i="12"/>
  <c r="E14" i="12"/>
  <c r="G14" i="12" s="1"/>
  <c r="B14" i="12"/>
  <c r="E9" i="12"/>
  <c r="G9" i="12" s="1"/>
  <c r="B9" i="12"/>
  <c r="E4" i="12"/>
  <c r="C4" i="12"/>
  <c r="B4" i="12"/>
  <c r="B16" i="19" l="1"/>
  <c r="C20" i="10"/>
  <c r="C11" i="10"/>
  <c r="C48" i="10" s="1"/>
  <c r="B48" i="10"/>
  <c r="G32" i="10"/>
  <c r="B50" i="10" s="1"/>
  <c r="B34" i="12"/>
  <c r="C34" i="12"/>
  <c r="E28" i="12"/>
  <c r="G28" i="12" s="1"/>
  <c r="G4" i="12"/>
  <c r="B49" i="10" l="1"/>
  <c r="B35" i="12"/>
  <c r="B36" i="12" s="1"/>
  <c r="F12" i="21" s="1"/>
  <c r="H12" i="21" l="1"/>
  <c r="A14" i="21"/>
  <c r="C14" i="21"/>
  <c r="E14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B35" i="18" s="1"/>
  <c r="C26" i="18"/>
  <c r="B26" i="18"/>
  <c r="G21" i="18"/>
  <c r="C21" i="18"/>
  <c r="B21" i="18"/>
  <c r="C16" i="18"/>
  <c r="B16" i="18"/>
  <c r="C11" i="18"/>
  <c r="B11" i="18"/>
  <c r="C4" i="18"/>
  <c r="F7" i="18"/>
  <c r="F8" i="18"/>
  <c r="F9" i="18"/>
  <c r="B4" i="18"/>
  <c r="G16" i="18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E20" i="14" s="1"/>
  <c r="G20" i="14" s="1"/>
  <c r="I20" i="14" s="1"/>
  <c r="C20" i="14"/>
  <c r="C32" i="14" s="1"/>
  <c r="B20" i="14"/>
  <c r="F18" i="14"/>
  <c r="F17" i="14"/>
  <c r="F16" i="14"/>
  <c r="F15" i="14"/>
  <c r="E14" i="14" s="1"/>
  <c r="G14" i="14" s="1"/>
  <c r="C14" i="14"/>
  <c r="B14" i="14"/>
  <c r="F12" i="14"/>
  <c r="C4" i="14"/>
  <c r="B4" i="14"/>
  <c r="G7" i="19" l="1"/>
  <c r="I7" i="19" s="1"/>
  <c r="C13" i="19"/>
  <c r="G4" i="19"/>
  <c r="G11" i="18"/>
  <c r="B32" i="18" s="1"/>
  <c r="G4" i="18"/>
  <c r="E4" i="16"/>
  <c r="G4" i="16" s="1"/>
  <c r="G15" i="16"/>
  <c r="E8" i="16"/>
  <c r="G8" i="16" s="1"/>
  <c r="C18" i="16"/>
  <c r="G4" i="14"/>
  <c r="B17" i="19" l="1"/>
  <c r="B14" i="19"/>
  <c r="B33" i="14"/>
  <c r="B34" i="14" s="1"/>
  <c r="G12" i="21" s="1"/>
  <c r="G14" i="21" s="1"/>
  <c r="B33" i="18"/>
  <c r="I12" i="21" s="1"/>
  <c r="B20" i="16"/>
  <c r="B15" i="19" l="1"/>
  <c r="J12" i="21" s="1"/>
  <c r="I14" i="21" s="1"/>
</calcChain>
</file>

<file path=xl/sharedStrings.xml><?xml version="1.0" encoding="utf-8"?>
<sst xmlns="http://schemas.openxmlformats.org/spreadsheetml/2006/main" count="619" uniqueCount="303">
  <si>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</si>
  <si>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</si>
  <si>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</si>
  <si>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</si>
  <si>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</si>
  <si>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</si>
  <si>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</si>
  <si>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</si>
  <si>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</si>
  <si>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</si>
  <si>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</si>
  <si>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</si>
  <si>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</si>
  <si>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</si>
  <si>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</si>
  <si>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</si>
  <si>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</si>
  <si>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</si>
  <si>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</si>
  <si>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</si>
  <si>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</si>
  <si>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</si>
  <si>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</si>
  <si>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</si>
  <si>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</si>
  <si>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</si>
  <si>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</si>
  <si>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</si>
  <si>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</si>
  <si>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</si>
  <si>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</si>
  <si>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</si>
  <si>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</si>
  <si>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</si>
  <si>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</si>
  <si>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</si>
  <si>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</si>
  <si>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</si>
  <si>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</si>
  <si>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</si>
  <si>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</si>
  <si>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</si>
  <si>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</si>
  <si>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</si>
  <si>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</si>
  <si>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</si>
  <si>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</si>
  <si>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</si>
  <si>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</si>
  <si>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</si>
  <si>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</si>
  <si>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</si>
  <si>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</si>
  <si>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</si>
  <si>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</si>
  <si>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</si>
  <si>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</si>
  <si>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</si>
  <si>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</si>
  <si>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</si>
  <si>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</si>
  <si>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</si>
  <si>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</si>
  <si>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</si>
  <si>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</si>
  <si>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</si>
  <si>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</si>
  <si>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</si>
  <si>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</si>
  <si>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</si>
  <si>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</si>
  <si>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</si>
  <si>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</si>
  <si>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</si>
  <si>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</si>
  <si>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</si>
  <si>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</si>
  <si>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</si>
  <si>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</si>
  <si>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</si>
  <si>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</si>
  <si>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</si>
  <si>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</si>
  <si>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</si>
  <si>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</si>
  <si>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</si>
  <si>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</si>
  <si>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</si>
  <si>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</si>
  <si>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</si>
  <si>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</si>
  <si>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</si>
  <si>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</si>
  <si>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</si>
  <si>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</si>
  <si>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</si>
  <si>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</si>
  <si>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</si>
  <si>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</si>
  <si>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</si>
  <si>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</si>
  <si>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</si>
  <si>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</si>
  <si>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</si>
  <si>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</si>
  <si>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</si>
  <si>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</si>
  <si>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</si>
  <si>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</si>
  <si>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</si>
  <si>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</si>
  <si>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</si>
  <si>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</si>
  <si>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</si>
  <si>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</si>
  <si>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</si>
  <si>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</si>
  <si>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</si>
  <si>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</si>
  <si>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</si>
  <si>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</si>
  <si>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</si>
  <si>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</si>
  <si>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</si>
  <si>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</si>
  <si>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</si>
  <si>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</si>
  <si>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</si>
  <si>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</si>
  <si>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</si>
  <si>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</si>
  <si>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</si>
  <si>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</si>
  <si>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</si>
  <si>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</si>
  <si>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</si>
  <si>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</si>
  <si>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</si>
  <si>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</si>
  <si>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</si>
  <si>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</si>
  <si>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</si>
  <si>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</si>
  <si>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</si>
  <si>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</si>
  <si>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</si>
  <si>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</si>
  <si>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</si>
  <si>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</si>
  <si>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</si>
  <si>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</si>
  <si>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</si>
  <si>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</si>
  <si>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</si>
  <si>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</si>
  <si>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</si>
  <si>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</si>
  <si>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</si>
  <si>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</si>
  <si>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</si>
  <si>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</si>
  <si>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</si>
  <si>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</si>
  <si>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</si>
  <si>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</si>
  <si>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</si>
  <si>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</si>
  <si>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</si>
  <si>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</si>
  <si>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</si>
  <si>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</si>
  <si>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</si>
  <si>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</si>
  <si>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</si>
  <si>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</si>
  <si>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</si>
  <si>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</si>
  <si>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</si>
  <si>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</si>
  <si>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</si>
  <si>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</si>
  <si>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</si>
  <si>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</si>
  <si>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</si>
  <si>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</si>
  <si>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</si>
  <si>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</si>
  <si>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</si>
  <si>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Validation et moyennes</t>
  </si>
  <si>
    <t>SEMESTRE 6</t>
  </si>
  <si>
    <t xml:space="preserve">UE et ECUE </t>
  </si>
  <si>
    <t xml:space="preserve">Nb. d'heures </t>
  </si>
  <si>
    <t>Coeff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</si>
  <si>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</si>
  <si>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</si>
  <si>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</si>
  <si>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</si>
  <si>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</si>
  <si>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</si>
  <si>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</si>
  <si>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</si>
  <si>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</si>
  <si>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</si>
  <si>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</si>
  <si>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</si>
  <si>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</si>
  <si>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</si>
  <si>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</si>
  <si>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</si>
  <si>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</si>
  <si>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</si>
  <si>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</si>
  <si>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</si>
  <si>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</si>
  <si>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</si>
  <si>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</si>
  <si>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</si>
  <si>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</si>
  <si>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</si>
  <si>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</si>
  <si>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</si>
  <si>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</si>
  <si>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</si>
  <si>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</si>
  <si>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</si>
  <si>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</si>
  <si>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</si>
  <si>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</si>
  <si>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</si>
  <si>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</si>
  <si>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</si>
  <si>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</si>
  <si>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</si>
  <si>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</si>
  <si>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</si>
  <si>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</si>
  <si>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</si>
  <si>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</si>
  <si>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</si>
  <si>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</si>
  <si>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</si>
  <si>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</si>
  <si>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</si>
  <si>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</si>
  <si>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</si>
  <si>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</si>
  <si>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</si>
  <si>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>évaluation papier</t>
  </si>
  <si>
    <t>DEV WEB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</si>
  <si>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</si>
  <si>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</si>
  <si>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</si>
  <si>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</si>
  <si>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</si>
  <si>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</si>
  <si>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</si>
  <si>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</si>
  <si>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</si>
  <si>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</si>
  <si>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</si>
  <si>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</si>
  <si>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</si>
  <si>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</si>
  <si>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</si>
  <si>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</si>
  <si>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</si>
  <si>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</si>
  <si>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</si>
  <si>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</si>
  <si>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</si>
  <si>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</si>
  <si>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</si>
  <si>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</si>
  <si>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</si>
  <si>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</si>
  <si>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Physique</t>
  </si>
  <si>
    <t>note DS Quantique</t>
  </si>
  <si>
    <t>note finale DS Freixas</t>
  </si>
  <si>
    <t>note petite éval Freixas</t>
  </si>
  <si>
    <t>note DS Freixas</t>
  </si>
  <si>
    <t>note motivation</t>
  </si>
  <si>
    <t>note TP MQ</t>
  </si>
  <si>
    <t>note motivation Composants</t>
  </si>
  <si>
    <t>note exposé</t>
  </si>
  <si>
    <t>note podcast</t>
  </si>
  <si>
    <t>note controverse</t>
  </si>
  <si>
    <t>rappport et compte 
rendu de stage</t>
  </si>
  <si>
    <t>note éthique</t>
  </si>
  <si>
    <t>note entretien ingénieur</t>
  </si>
  <si>
    <t>note petits rendus cc ethique</t>
  </si>
  <si>
    <t>note géopolitique</t>
  </si>
  <si>
    <t>note économie</t>
  </si>
  <si>
    <t>exposé</t>
  </si>
  <si>
    <t>blog + motivation</t>
  </si>
  <si>
    <t>petit éval voc</t>
  </si>
  <si>
    <t>video CV</t>
  </si>
  <si>
    <t>note anglais</t>
  </si>
  <si>
    <t>Statut alternant</t>
  </si>
  <si>
    <t>nombre ECTS validables</t>
  </si>
  <si>
    <t>nombre ECTS validés</t>
  </si>
  <si>
    <t xml:space="preserve"> nombre crédits 
ECTS validabés</t>
  </si>
  <si>
    <t>nombre crédits 
ECTS validables</t>
  </si>
  <si>
    <t>analyse de données/ outil numérique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</si>
</sst>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3" borderId="0" xfId="0" applyFill="1"/>
    <xf numFmtId="0" fontId="6" fillId="0" borderId="0" xfId="0" applyFont="1"/>
    <xf numFmtId="2" fontId="0" fillId="0" borderId="1" xfId="0" applyNumberFormat="1" applyBorder="1"/>
    <xf numFmtId="0" fontId="5" fillId="0" borderId="0" xfId="0" applyFont="1"/>
    <xf numFmtId="0" fontId="0" fillId="0" borderId="0" xfId="0" applyAlignment="1">
      <alignment wrapText="1"/>
    </xf>
    <xf numFmtId="0" fontId="2" fillId="3" borderId="0" xfId="0" applyFont="1" applyFill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ill="1"/>
    <xf numFmtId="0" fontId="0" fillId="4" borderId="0" xfId="0" applyFill="1"/>
    <xf numFmtId="0" fontId="4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me'!$A$9:$J$9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me'!$A$9:$J$9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me'!$A$9:$J$9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me'!$A$12:$J$12</c:f>
              <c:numCache>
                <c:formatCode>General</c:formatCode>
                <c:ptCount val="10"/>
                <c:pt idx="4" formatCode="0.00">
                  <c:v>10.182727272727272</c:v>
                </c:pt>
                <c:pt idx="5" formatCode="0.00">
                  <c:v>10.15</c:v>
                </c:pt>
                <c:pt idx="6" formatCode="0.00">
                  <c:v>10.18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24952</xdr:colOff>
      <xdr:row>14</xdr:row>
      <xdr:rowOff>184821</xdr:rowOff>
    </xdr:from>
    <xdr:to>
      <xdr:col>10</xdr:col>
      <xdr:colOff>0</xdr:colOff>
      <xdr:row>29</xdr:row>
      <xdr:rowOff>126551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4"/>
  <sheetViews>
    <sheetView zoomScale="93" zoomScaleNormal="85" workbookViewId="0">
      <selection activeCell="B1" sqref="B1"/>
    </sheetView>
  </sheetViews>
  <sheetFormatPr baseColWidth="10" defaultRowHeight="14.4" x14ac:dyDescent="0.55000000000000004"/>
  <cols>
    <col min="1" max="1" width="19.4179687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297</v>
      </c>
      <c r="B5" t="s">
        <v>237</v>
      </c>
    </row>
    <row r="7" spans="1:11" x14ac:dyDescent="0.55000000000000004">
      <c r="A7" s="1" t="s">
        <v>11</v>
      </c>
    </row>
    <row r="8" spans="1:11" x14ac:dyDescent="0.55000000000000004">
      <c r="A8" s="1" t="s">
        <v>188</v>
      </c>
    </row>
    <row r="9" spans="1:11" x14ac:dyDescent="0.55000000000000004">
      <c r="A9" s="2" t="s">
        <v>12</v>
      </c>
      <c r="B9" s="2" t="s">
        <v>14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 t="s">
        <v>21</v>
      </c>
      <c r="J9" s="2" t="s">
        <v>22</v>
      </c>
    </row>
    <row r="10" spans="1:11" ht="0.3" customHeight="1" x14ac:dyDescent="0.55000000000000004">
      <c r="A10" s="2">
        <v>10</v>
      </c>
      <c r="B10" s="2">
        <v>10</v>
      </c>
      <c r="C10" s="2">
        <v>10</v>
      </c>
      <c r="D10" s="2">
        <v>10</v>
      </c>
      <c r="E10" s="2">
        <v>10</v>
      </c>
      <c r="F10" s="2">
        <v>10</v>
      </c>
      <c r="G10" s="2">
        <v>10</v>
      </c>
      <c r="H10" s="2">
        <v>10</v>
      </c>
      <c r="I10" s="2">
        <v>10</v>
      </c>
      <c r="J10" s="2">
        <v>10</v>
      </c>
    </row>
    <row r="11" spans="1:11" ht="0.3" customHeight="1" x14ac:dyDescent="0.55000000000000004">
      <c r="A11" s="2">
        <v>13</v>
      </c>
      <c r="B11" s="2">
        <v>13</v>
      </c>
      <c r="C11" s="2">
        <v>13</v>
      </c>
      <c r="D11" s="2">
        <v>13</v>
      </c>
      <c r="E11" s="2">
        <v>13</v>
      </c>
      <c r="F11" s="12">
        <v>13</v>
      </c>
      <c r="G11" s="12">
        <v>13</v>
      </c>
      <c r="H11" s="12">
        <v>13</v>
      </c>
      <c r="I11" s="12">
        <v>13</v>
      </c>
      <c r="J11" s="12">
        <v>13</v>
      </c>
    </row>
    <row r="12" spans="1:11" x14ac:dyDescent="0.55000000000000004">
      <c r="A12" s="2"/>
      <c r="B12" s="2"/>
      <c r="C12" s="2"/>
      <c r="D12" s="2"/>
      <c r="E12" s="12">
        <f>'Bulletin S5'!B50</f>
        <v>10.182727272727272</v>
      </c>
      <c r="F12" s="12">
        <f>'Bulletin S6'!B36</f>
        <v>10.15</v>
      </c>
      <c r="G12" s="12">
        <f>'Bulletin S7'!B34</f>
        <v>10.18</v>
      </c>
      <c r="H12" s="12">
        <f>'Bulletin S8'!B20</f>
        <v>10</v>
      </c>
      <c r="I12" s="12">
        <f>'Bulletin S9'!B33</f>
        <v>10</v>
      </c>
      <c r="J12" s="12">
        <f>'Bulletin S10'!B15</f>
        <v>10</v>
      </c>
    </row>
    <row r="13" spans="1:11" x14ac:dyDescent="0.55000000000000004">
      <c r="A13" s="17" t="s">
        <v>13</v>
      </c>
      <c r="B13" s="17"/>
      <c r="C13" s="17" t="s">
        <v>23</v>
      </c>
      <c r="D13" s="17"/>
      <c r="E13" s="17" t="s">
        <v>24</v>
      </c>
      <c r="F13" s="17"/>
      <c r="G13" s="17" t="s">
        <v>25</v>
      </c>
      <c r="H13" s="17"/>
      <c r="I13" s="17" t="s">
        <v>26</v>
      </c>
      <c r="J13" s="17"/>
    </row>
    <row r="14" spans="1:11" x14ac:dyDescent="0.55000000000000004">
      <c r="A14" s="18" t="e">
        <f>AVERAGE(A12,B12)</f>
        <v>#DIV/0!</v>
      </c>
      <c r="B14" s="19"/>
      <c r="C14" s="18" t="e">
        <f>AVERAGE(C12,D12)</f>
        <v>#DIV/0!</v>
      </c>
      <c r="D14" s="19"/>
      <c r="E14" s="18">
        <f>AVERAGE(E12,F12)</f>
        <v>10.166363636363636</v>
      </c>
      <c r="F14" s="19"/>
      <c r="G14" s="18">
        <f>AVERAGE(G12,H12)</f>
        <v>10.09</v>
      </c>
      <c r="H14" s="19"/>
      <c r="I14" s="20">
        <f>AVERAGE(I12,J12)</f>
        <v>10</v>
      </c>
      <c r="J14" s="19"/>
      <c r="K14" s="10"/>
    </row>
  </sheetData>
  <mergeCells count="10"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</mergeCells>
  <phoneticPr fontId="1" type="noConversion"/>
  <conditionalFormatting sqref="A10:J12">
    <cfRule type="cellIs" dxfId="3" priority="4" operator="between">
      <formula>10</formula>
      <formula>20</formula>
    </cfRule>
    <cfRule type="cellIs" dxfId="2" priority="5" operator="between">
      <formula>0</formula>
      <formula>10</formula>
    </cfRule>
  </conditionalFormatting>
  <conditionalFormatting sqref="I14:J14">
    <cfRule type="expression" dxfId="1" priority="2">
      <formula>AND(I12&gt;=10, J12&gt;=10)</formula>
    </cfRule>
    <cfRule type="expression" dxfId="0" priority="3">
      <formula>OR(I12&lt;10, J12&lt;10)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1"/>
  <sheetViews>
    <sheetView workbookViewId="0">
      <selection activeCell="D7" sqref="D7"/>
    </sheetView>
  </sheetViews>
  <sheetFormatPr baseColWidth="10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G50"/>
  <sheetViews>
    <sheetView topLeftCell="A37" workbookViewId="0">
      <selection activeCell="A7" sqref="A7:A8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3" max="3" width="6.89453125" bestFit="1" customWidth="1"/>
    <col min="4" max="4" width="23.47265625" bestFit="1" customWidth="1"/>
    <col min="5" max="5" width="11.68359375" bestFit="1" customWidth="1"/>
    <col min="6" max="6" width="6.89453125" bestFit="1" customWidth="1"/>
    <col min="7" max="8" width="20.9453125" bestFit="1" customWidth="1"/>
  </cols>
  <sheetData>
    <row r="1" spans="1:7" ht="26.4" x14ac:dyDescent="1">
      <c r="A1" s="6" t="s">
        <v>262</v>
      </c>
      <c r="B1" s="7"/>
    </row>
    <row r="2" spans="1:7" ht="39" x14ac:dyDescent="0.75">
      <c r="A2" s="23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</row>
    <row r="3" spans="1:7" x14ac:dyDescent="0.55000000000000004">
      <c r="A3" s="21"/>
    </row>
    <row r="4" spans="1:7" x14ac:dyDescent="0.55000000000000004">
      <c r="A4" s="24" t="s">
        <v>245</v>
      </c>
      <c r="B4">
        <f>B5+B6+B7+B8</f>
        <v>105</v>
      </c>
      <c r="C4">
        <f>C5+C6+C7+C8</f>
        <v>7</v>
      </c>
      <c r="D4" t="s">
        <v>195</v>
      </c>
      <c r="E4">
        <f>(E5*F5+E6*F6+E7*F7+E8*F8+E9*F9)/(F5+F6+F7+F8+F9)</f>
        <v>10</v>
      </c>
      <c r="G4">
        <f>ROUND(E4, 2)</f>
        <v>10</v>
      </c>
    </row>
    <row r="5" spans="1:7" x14ac:dyDescent="0.55000000000000004">
      <c r="A5" s="21" t="s">
        <v>263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7" x14ac:dyDescent="0.55000000000000004">
      <c r="A6" s="21" t="s">
        <v>264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7" x14ac:dyDescent="0.55000000000000004">
      <c r="A7" s="10" t="s">
        <v>265</v>
      </c>
      <c r="B7">
        <v>15</v>
      </c>
      <c r="C7">
        <f>F7</f>
        <v>1</v>
      </c>
      <c r="D7" t="s">
        <v>5</v>
      </c>
      <c r="E7">
        <v>10</v>
      </c>
      <c r="F7">
        <v>1</v>
      </c>
    </row>
    <row r="8" spans="1:7" x14ac:dyDescent="0.55000000000000004">
      <c r="A8" s="10" t="s">
        <v>266</v>
      </c>
      <c r="B8">
        <v>45</v>
      </c>
      <c r="C8">
        <f>F8+F9</f>
        <v>3</v>
      </c>
      <c r="D8" t="s">
        <v>267</v>
      </c>
      <c r="E8">
        <v>10</v>
      </c>
      <c r="F8">
        <v>2</v>
      </c>
    </row>
    <row r="9" spans="1:7" x14ac:dyDescent="0.55000000000000004">
      <c r="A9" s="21"/>
      <c r="D9" t="s">
        <v>268</v>
      </c>
      <c r="E9">
        <v>10</v>
      </c>
      <c r="F9">
        <v>1</v>
      </c>
    </row>
    <row r="10" spans="1:7" x14ac:dyDescent="0.55000000000000004">
      <c r="A10" s="21"/>
    </row>
    <row r="11" spans="1:7" x14ac:dyDescent="0.55000000000000004">
      <c r="A11" s="24" t="s">
        <v>269</v>
      </c>
      <c r="B11">
        <f>B12+B14</f>
        <v>105</v>
      </c>
      <c r="C11">
        <f>C12+C14</f>
        <v>7</v>
      </c>
      <c r="D11" t="s">
        <v>195</v>
      </c>
      <c r="E11">
        <f>(E12*F12+E13*F13+E14*F14+E15*F15+E16*F16+E17*F17+E18*F18)/(F12+F13+F14+F15+F16+F17+F18)</f>
        <v>10</v>
      </c>
      <c r="G11">
        <f>ROUND(E11, 2)</f>
        <v>10</v>
      </c>
    </row>
    <row r="12" spans="1:7" x14ac:dyDescent="0.55000000000000004">
      <c r="A12" s="21" t="s">
        <v>129</v>
      </c>
      <c r="B12">
        <v>45</v>
      </c>
      <c r="C12">
        <f>F12+F13</f>
        <v>3</v>
      </c>
      <c r="D12" t="s">
        <v>267</v>
      </c>
      <c r="E12">
        <v>10</v>
      </c>
      <c r="F12">
        <v>1.5</v>
      </c>
    </row>
    <row r="13" spans="1:7" x14ac:dyDescent="0.55000000000000004">
      <c r="A13" s="21"/>
      <c r="D13" t="s">
        <v>268</v>
      </c>
      <c r="E13">
        <v>10</v>
      </c>
      <c r="F13">
        <v>1.5</v>
      </c>
    </row>
    <row r="14" spans="1:7" x14ac:dyDescent="0.55000000000000004">
      <c r="A14" s="21" t="s">
        <v>130</v>
      </c>
      <c r="B14">
        <v>60</v>
      </c>
      <c r="C14">
        <f>F14+F15+F16+F17+F18</f>
        <v>4</v>
      </c>
      <c r="D14" t="s">
        <v>270</v>
      </c>
      <c r="E14">
        <v>10</v>
      </c>
      <c r="F14">
        <v>1</v>
      </c>
    </row>
    <row r="15" spans="1:7" x14ac:dyDescent="0.55000000000000004">
      <c r="A15" s="21"/>
      <c r="D15" t="s">
        <v>271</v>
      </c>
      <c r="E15">
        <v>10</v>
      </c>
      <c r="F15">
        <v>1.5</v>
      </c>
    </row>
    <row r="16" spans="1:7" x14ac:dyDescent="0.55000000000000004">
      <c r="A16" s="21"/>
      <c r="D16" t="s">
        <v>272</v>
      </c>
      <c r="E16">
        <v>10</v>
      </c>
      <c r="F16">
        <v>0.375</v>
      </c>
    </row>
    <row r="17" spans="1:7" x14ac:dyDescent="0.55000000000000004">
      <c r="A17" s="21"/>
      <c r="D17" t="s">
        <v>273</v>
      </c>
      <c r="E17">
        <v>10</v>
      </c>
      <c r="F17">
        <v>0.375</v>
      </c>
    </row>
    <row r="18" spans="1:7" x14ac:dyDescent="0.55000000000000004">
      <c r="D18" t="s">
        <v>274</v>
      </c>
      <c r="E18">
        <v>10</v>
      </c>
      <c r="F18">
        <v>0.75</v>
      </c>
    </row>
    <row r="20" spans="1:7" x14ac:dyDescent="0.55000000000000004">
      <c r="A20" s="7" t="s">
        <v>275</v>
      </c>
      <c r="B20">
        <f>B21+B28</f>
        <v>90</v>
      </c>
      <c r="C20">
        <f>C21+C28</f>
        <v>6</v>
      </c>
      <c r="D20" t="s">
        <v>195</v>
      </c>
      <c r="E20">
        <f>(E21*F21+E22*F22+E25*F25+E28*F28)/(F21+F22+F25+F28)</f>
        <v>10</v>
      </c>
      <c r="G20">
        <f>ROUND(E20,2)</f>
        <v>10</v>
      </c>
    </row>
    <row r="21" spans="1:7" x14ac:dyDescent="0.55000000000000004">
      <c r="A21" t="s">
        <v>127</v>
      </c>
      <c r="B21">
        <v>60</v>
      </c>
      <c r="C21">
        <f>F21+F22+F25</f>
        <v>4</v>
      </c>
      <c r="D21" t="s">
        <v>276</v>
      </c>
      <c r="E21">
        <v>10</v>
      </c>
      <c r="F21">
        <v>1</v>
      </c>
    </row>
    <row r="22" spans="1:7" x14ac:dyDescent="0.55000000000000004">
      <c r="D22" t="s">
        <v>277</v>
      </c>
      <c r="E22">
        <v>10</v>
      </c>
      <c r="F22">
        <v>2</v>
      </c>
    </row>
    <row r="23" spans="1:7" x14ac:dyDescent="0.55000000000000004">
      <c r="D23" s="13" t="s">
        <v>278</v>
      </c>
      <c r="E23">
        <v>10</v>
      </c>
      <c r="F23">
        <v>0.25</v>
      </c>
    </row>
    <row r="24" spans="1:7" x14ac:dyDescent="0.55000000000000004">
      <c r="D24" s="13" t="s">
        <v>279</v>
      </c>
      <c r="E24">
        <v>10</v>
      </c>
      <c r="F24">
        <v>0.75</v>
      </c>
    </row>
    <row r="25" spans="1:7" x14ac:dyDescent="0.55000000000000004">
      <c r="D25" t="s">
        <v>280</v>
      </c>
      <c r="E25">
        <v>10</v>
      </c>
      <c r="F25">
        <v>1</v>
      </c>
    </row>
    <row r="26" spans="1:7" x14ac:dyDescent="0.55000000000000004">
      <c r="D26" s="13" t="s">
        <v>281</v>
      </c>
      <c r="E26">
        <v>10</v>
      </c>
      <c r="F26">
        <v>0.5</v>
      </c>
    </row>
    <row r="27" spans="1:7" x14ac:dyDescent="0.55000000000000004">
      <c r="D27" s="13" t="s">
        <v>282</v>
      </c>
      <c r="E27">
        <v>10</v>
      </c>
      <c r="F27">
        <v>0.5</v>
      </c>
    </row>
    <row r="28" spans="1:7" x14ac:dyDescent="0.55000000000000004">
      <c r="A28" t="s">
        <v>128</v>
      </c>
      <c r="B28">
        <v>30</v>
      </c>
      <c r="C28">
        <f>F28</f>
        <v>2</v>
      </c>
      <c r="D28" t="s">
        <v>5</v>
      </c>
      <c r="E28">
        <v>10</v>
      </c>
      <c r="F28">
        <v>2</v>
      </c>
    </row>
    <row r="29" spans="1:7" x14ac:dyDescent="0.55000000000000004">
      <c r="D29" s="13" t="s">
        <v>283</v>
      </c>
      <c r="E29">
        <v>10</v>
      </c>
      <c r="F29">
        <v>0.25</v>
      </c>
    </row>
    <row r="30" spans="1:7" x14ac:dyDescent="0.55000000000000004">
      <c r="D30" s="13" t="s">
        <v>267</v>
      </c>
      <c r="E30">
        <v>10</v>
      </c>
      <c r="F30">
        <v>0.75</v>
      </c>
    </row>
    <row r="32" spans="1:7" x14ac:dyDescent="0.55000000000000004">
      <c r="A32" s="7" t="s">
        <v>209</v>
      </c>
      <c r="B32">
        <f>B33+B36+B41+B46</f>
        <v>90</v>
      </c>
      <c r="C32">
        <f>C33+C36+C41+C46</f>
        <v>7.5</v>
      </c>
      <c r="D32" t="s">
        <v>195</v>
      </c>
      <c r="E32">
        <f>(E33*F33+E34*F34+E35*F35+E36*F36+E39*F39+E40*F40+E41*F41+E46*F46)/C32</f>
        <v>10.666666666666666</v>
      </c>
      <c r="G32">
        <f>ROUND(E32,2)</f>
        <v>10.67</v>
      </c>
    </row>
    <row r="33" spans="1:6" x14ac:dyDescent="0.55000000000000004">
      <c r="A33" t="s">
        <v>210</v>
      </c>
      <c r="B33">
        <v>30</v>
      </c>
      <c r="C33">
        <f>F33+F34+F35</f>
        <v>3</v>
      </c>
      <c r="D33" t="s">
        <v>284</v>
      </c>
      <c r="E33">
        <v>10</v>
      </c>
      <c r="F33">
        <v>0.7</v>
      </c>
    </row>
    <row r="34" spans="1:6" x14ac:dyDescent="0.55000000000000004">
      <c r="D34" t="s">
        <v>285</v>
      </c>
      <c r="E34">
        <v>10</v>
      </c>
      <c r="F34">
        <v>1.3</v>
      </c>
    </row>
    <row r="35" spans="1:6" ht="28.8" x14ac:dyDescent="0.55000000000000004">
      <c r="D35" s="14" t="s">
        <v>286</v>
      </c>
      <c r="E35">
        <v>10</v>
      </c>
      <c r="F35">
        <v>1</v>
      </c>
    </row>
    <row r="36" spans="1:6" x14ac:dyDescent="0.55000000000000004">
      <c r="A36" t="s">
        <v>133</v>
      </c>
      <c r="B36">
        <v>30</v>
      </c>
      <c r="C36">
        <f>F36+F39+F40</f>
        <v>2</v>
      </c>
      <c r="D36" t="s">
        <v>287</v>
      </c>
      <c r="E36">
        <v>10</v>
      </c>
      <c r="F36">
        <v>0.8</v>
      </c>
    </row>
    <row r="37" spans="1:6" x14ac:dyDescent="0.55000000000000004">
      <c r="D37" s="13" t="s">
        <v>288</v>
      </c>
      <c r="E37">
        <v>10</v>
      </c>
    </row>
    <row r="38" spans="1:6" x14ac:dyDescent="0.55000000000000004">
      <c r="D38" s="13" t="s">
        <v>289</v>
      </c>
      <c r="E38">
        <v>10</v>
      </c>
    </row>
    <row r="39" spans="1:6" x14ac:dyDescent="0.55000000000000004">
      <c r="D39" t="s">
        <v>290</v>
      </c>
      <c r="E39">
        <v>10</v>
      </c>
      <c r="F39">
        <v>0.6</v>
      </c>
    </row>
    <row r="40" spans="1:6" x14ac:dyDescent="0.55000000000000004">
      <c r="D40" t="s">
        <v>291</v>
      </c>
      <c r="E40">
        <v>10</v>
      </c>
      <c r="F40">
        <v>0.6</v>
      </c>
    </row>
    <row r="41" spans="1:6" x14ac:dyDescent="0.55000000000000004">
      <c r="A41" t="s">
        <v>47</v>
      </c>
      <c r="B41">
        <v>30</v>
      </c>
      <c r="C41">
        <f>F41</f>
        <v>2</v>
      </c>
      <c r="D41" t="s">
        <v>296</v>
      </c>
      <c r="E41">
        <v>10</v>
      </c>
      <c r="F41">
        <v>2</v>
      </c>
    </row>
    <row r="42" spans="1:6" x14ac:dyDescent="0.55000000000000004">
      <c r="D42" s="13" t="s">
        <v>292</v>
      </c>
      <c r="E42">
        <v>10</v>
      </c>
      <c r="F42">
        <v>2</v>
      </c>
    </row>
    <row r="43" spans="1:6" x14ac:dyDescent="0.55000000000000004">
      <c r="D43" s="13" t="s">
        <v>293</v>
      </c>
      <c r="E43">
        <v>10</v>
      </c>
      <c r="F43">
        <v>0.5</v>
      </c>
    </row>
    <row r="44" spans="1:6" x14ac:dyDescent="0.55000000000000004">
      <c r="D44" s="13" t="s">
        <v>294</v>
      </c>
      <c r="E44" s="14">
        <v>10</v>
      </c>
      <c r="F44">
        <v>1.5</v>
      </c>
    </row>
    <row r="45" spans="1:6" x14ac:dyDescent="0.55000000000000004">
      <c r="D45" s="13" t="s">
        <v>295</v>
      </c>
      <c r="E45">
        <v>10</v>
      </c>
      <c r="F45">
        <v>2</v>
      </c>
    </row>
    <row r="46" spans="1:6" x14ac:dyDescent="0.55000000000000004">
      <c r="A46" t="s">
        <v>134</v>
      </c>
      <c r="B46">
        <v>0</v>
      </c>
      <c r="C46">
        <f>F46</f>
        <v>0.5</v>
      </c>
      <c r="D46" t="s">
        <v>255</v>
      </c>
      <c r="E46">
        <v>20</v>
      </c>
      <c r="F46">
        <v>0.5</v>
      </c>
    </row>
    <row r="48" spans="1:6" x14ac:dyDescent="0.55000000000000004">
      <c r="A48" s="7" t="s">
        <v>221</v>
      </c>
      <c r="B48">
        <f>B32+B20+B11+B4</f>
        <v>390</v>
      </c>
      <c r="C48">
        <f>C4+C11+C20+C32</f>
        <v>27.5</v>
      </c>
    </row>
    <row r="49" spans="1:2" x14ac:dyDescent="0.55000000000000004">
      <c r="A49" s="7" t="s">
        <v>222</v>
      </c>
      <c r="B49">
        <f>(E32*C32+E20*C20+E11*C11+E4*C4)/C48</f>
        <v>10.181818181818182</v>
      </c>
    </row>
    <row r="50" spans="1:2" x14ac:dyDescent="0.55000000000000004">
      <c r="A50" s="7" t="s">
        <v>223</v>
      </c>
      <c r="B50" s="3">
        <f>(G4*C4+G11*C11+G20*C20+G32*C32)/(C4+C11+C20+C32)</f>
        <v>10.182727272727272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zoomScale="70" zoomScaleNormal="70" workbookViewId="0">
      <selection activeCell="B39" sqref="B39"/>
    </sheetView>
  </sheetViews>
  <sheetFormatPr baseColWidth="10" defaultRowHeight="14.4" x14ac:dyDescent="0.55000000000000004"/>
  <cols>
    <col min="1" max="1" width="34.20703125" bestFit="1" customWidth="1"/>
    <col min="2" max="2" width="14.9453125" bestFit="1" customWidth="1"/>
    <col min="3" max="3" width="6.83984375" bestFit="1" customWidth="1"/>
    <col min="4" max="4" width="32.83984375" bestFit="1" customWidth="1"/>
    <col min="5" max="5" width="11.68359375" bestFit="1" customWidth="1"/>
    <col min="7" max="7" width="20.9453125" bestFit="1" customWidth="1"/>
    <col min="8" max="8" width="18.3125" bestFit="1" customWidth="1"/>
    <col min="9" max="9" width="17.9453125" bestFit="1" customWidth="1"/>
  </cols>
  <sheetData>
    <row r="1" spans="1:9" ht="26.4" x14ac:dyDescent="1">
      <c r="A1" s="6" t="s">
        <v>189</v>
      </c>
      <c r="B1" s="7"/>
    </row>
    <row r="2" spans="1:9" ht="39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  <c r="H2" s="9" t="s">
        <v>301</v>
      </c>
      <c r="I2" s="9" t="s">
        <v>300</v>
      </c>
    </row>
    <row r="4" spans="1:9" x14ac:dyDescent="0.55000000000000004">
      <c r="A4" s="7" t="s">
        <v>245</v>
      </c>
      <c r="B4">
        <f>B5+B6+B7</f>
        <v>75</v>
      </c>
      <c r="C4">
        <f>C5+C6+C7</f>
        <v>5</v>
      </c>
      <c r="D4" t="s">
        <v>195</v>
      </c>
      <c r="E4">
        <f>(E5*F5+E6*F6+E7*F7)/(F5+F6+F7)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246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15" t="s">
        <v>302</v>
      </c>
      <c r="B9">
        <f>B10+B11+B12</f>
        <v>60</v>
      </c>
      <c r="C9">
        <f>C10+C11+C12</f>
        <v>4</v>
      </c>
      <c r="D9" t="s">
        <v>195</v>
      </c>
      <c r="E9">
        <f>(E10*F10+E11*F11+E12*F12)/(F10+F11+F12)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s="10" t="s">
        <v>138</v>
      </c>
      <c r="B10">
        <v>15</v>
      </c>
      <c r="C10">
        <v>1</v>
      </c>
      <c r="D10" t="s">
        <v>247</v>
      </c>
      <c r="E10">
        <v>10</v>
      </c>
      <c r="F10">
        <v>1</v>
      </c>
    </row>
    <row r="11" spans="1:9" x14ac:dyDescent="0.55000000000000004">
      <c r="A11" t="s">
        <v>137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s="10" t="s">
        <v>248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209</v>
      </c>
      <c r="B14">
        <f>B15+B18+B20+B21</f>
        <v>90</v>
      </c>
      <c r="C14">
        <f>C15+C18+C20</f>
        <v>6</v>
      </c>
      <c r="D14" t="s">
        <v>195</v>
      </c>
      <c r="E14">
        <f>(E15*F15+E16*F16+E17*F17+E18*F18+E19*F19+E20*F20+E21*F21)/(F15+F16+F17+F18+F19+F20+F21)</f>
        <v>10.714285714285714</v>
      </c>
      <c r="G14">
        <f>ROUND(E14,2)</f>
        <v>10.71</v>
      </c>
      <c r="H14">
        <v>6</v>
      </c>
      <c r="I14">
        <f>IF(G14&gt;=10,H14,0)</f>
        <v>6</v>
      </c>
    </row>
    <row r="15" spans="1:9" x14ac:dyDescent="0.55000000000000004">
      <c r="A15" t="s">
        <v>249</v>
      </c>
      <c r="B15">
        <v>45</v>
      </c>
      <c r="C15">
        <v>3</v>
      </c>
      <c r="D15" t="s">
        <v>250</v>
      </c>
      <c r="E15">
        <v>10</v>
      </c>
      <c r="F15">
        <v>1</v>
      </c>
    </row>
    <row r="16" spans="1:9" x14ac:dyDescent="0.55000000000000004">
      <c r="D16" t="s">
        <v>251</v>
      </c>
      <c r="E16">
        <v>10</v>
      </c>
      <c r="F16">
        <v>2</v>
      </c>
    </row>
    <row r="17" spans="1:9" x14ac:dyDescent="0.55000000000000004">
      <c r="D17" t="s">
        <v>252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253</v>
      </c>
      <c r="E18">
        <v>10</v>
      </c>
      <c r="F18">
        <v>1</v>
      </c>
    </row>
    <row r="19" spans="1:9" x14ac:dyDescent="0.55000000000000004">
      <c r="D19" t="s">
        <v>254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255</v>
      </c>
      <c r="E21">
        <v>20</v>
      </c>
      <c r="F21">
        <v>0.5</v>
      </c>
    </row>
    <row r="23" spans="1:9" x14ac:dyDescent="0.55000000000000004">
      <c r="A23" s="7" t="s">
        <v>256</v>
      </c>
      <c r="B23">
        <f>B24+B25+B26</f>
        <v>90</v>
      </c>
      <c r="C23">
        <f>C24+C25+C26</f>
        <v>6</v>
      </c>
      <c r="D23" t="s">
        <v>195</v>
      </c>
      <c r="E23">
        <f>(E24*F24+E25*F25+E26*F26)/(F24+F25+F26)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257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258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259</v>
      </c>
      <c r="B28">
        <f>B29+B30+B31+B32</f>
        <v>120</v>
      </c>
      <c r="C28">
        <f>C29+C30+C31+C32</f>
        <v>8</v>
      </c>
      <c r="D28" t="s">
        <v>195</v>
      </c>
      <c r="E28">
        <f>(E29*F29+E30*F30+E31*F31+E32*F32)/C28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260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261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221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222</v>
      </c>
      <c r="B35">
        <f>(E4*C4+E9*C9+E14*C14+E23*C23+E28*C28)/C34</f>
        <v>10.147783251231527</v>
      </c>
    </row>
    <row r="36" spans="1:3" x14ac:dyDescent="0.55000000000000004">
      <c r="A36" s="7" t="s">
        <v>223</v>
      </c>
      <c r="B36" s="3">
        <f>ROUND(B35,2)</f>
        <v>10.15</v>
      </c>
    </row>
    <row r="37" spans="1:3" x14ac:dyDescent="0.55000000000000004">
      <c r="A37" s="7" t="s">
        <v>298</v>
      </c>
      <c r="B37">
        <f>H4+H9+H14+H23+H28</f>
        <v>30</v>
      </c>
    </row>
    <row r="38" spans="1:3" x14ac:dyDescent="0.55000000000000004">
      <c r="A38" s="7" t="s">
        <v>299</v>
      </c>
      <c r="B38">
        <f>I4+I9+I14+I23+I28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baseColWidth="10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workbookViewId="0">
      <selection activeCell="I5" sqref="I5"/>
    </sheetView>
  </sheetViews>
  <sheetFormatPr baseColWidth="10" defaultRowHeight="14.4" x14ac:dyDescent="0.55000000000000004"/>
  <cols>
    <col min="1" max="1" width="33.3671875" bestFit="1" customWidth="1"/>
    <col min="2" max="2" width="14.9453125" bestFit="1" customWidth="1"/>
    <col min="4" max="4" width="21.26171875" bestFit="1" customWidth="1"/>
    <col min="5" max="5" width="11.68359375" bestFit="1" customWidth="1"/>
    <col min="6" max="6" width="6.83984375" bestFit="1" customWidth="1"/>
    <col min="7" max="7" width="20.628906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225</v>
      </c>
      <c r="B1" s="7"/>
    </row>
    <row r="2" spans="1:10" ht="39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  <c r="H2" s="9" t="s">
        <v>301</v>
      </c>
      <c r="I2" s="9" t="s">
        <v>300</v>
      </c>
      <c r="J2" s="9"/>
    </row>
    <row r="4" spans="1:10" x14ac:dyDescent="0.55000000000000004">
      <c r="A4" s="7" t="s">
        <v>194</v>
      </c>
      <c r="B4">
        <f>B5+B8+B9+B10+B12</f>
        <v>150</v>
      </c>
      <c r="C4">
        <f>C5+C8+C9+C10+C12+5</f>
        <v>15</v>
      </c>
      <c r="D4" t="s">
        <v>195</v>
      </c>
      <c r="E4" s="21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196</v>
      </c>
      <c r="B5">
        <v>60</v>
      </c>
      <c r="C5">
        <v>4</v>
      </c>
      <c r="D5" t="s">
        <v>197</v>
      </c>
      <c r="E5">
        <v>10</v>
      </c>
      <c r="F5">
        <v>1.5</v>
      </c>
    </row>
    <row r="6" spans="1:10" x14ac:dyDescent="0.55000000000000004">
      <c r="D6" t="s">
        <v>198</v>
      </c>
      <c r="E6">
        <v>10</v>
      </c>
      <c r="F6">
        <v>1.5</v>
      </c>
    </row>
    <row r="7" spans="1:10" x14ac:dyDescent="0.55000000000000004">
      <c r="D7" t="s">
        <v>199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200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200</v>
      </c>
      <c r="E9">
        <v>10</v>
      </c>
      <c r="F9">
        <v>1</v>
      </c>
    </row>
    <row r="10" spans="1:10" x14ac:dyDescent="0.55000000000000004">
      <c r="A10" t="s">
        <v>201</v>
      </c>
      <c r="B10">
        <v>30</v>
      </c>
      <c r="C10">
        <v>2</v>
      </c>
      <c r="D10" t="s">
        <v>200</v>
      </c>
      <c r="E10">
        <v>10</v>
      </c>
      <c r="F10">
        <v>1</v>
      </c>
    </row>
    <row r="11" spans="1:10" x14ac:dyDescent="0.55000000000000004">
      <c r="D11" t="s">
        <v>202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200</v>
      </c>
      <c r="E12">
        <v>10</v>
      </c>
      <c r="F12">
        <f>C12</f>
        <v>2</v>
      </c>
    </row>
    <row r="14" spans="1:10" x14ac:dyDescent="0.55000000000000004">
      <c r="A14" s="7" t="s">
        <v>203</v>
      </c>
      <c r="B14">
        <f>B15+B16+B17+B18</f>
        <v>90</v>
      </c>
      <c r="C14">
        <f>C15+C16+C17+C18+2</f>
        <v>8</v>
      </c>
      <c r="D14" t="s">
        <v>195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204</v>
      </c>
      <c r="B15">
        <v>15</v>
      </c>
      <c r="C15">
        <v>1</v>
      </c>
      <c r="D15" t="s">
        <v>205</v>
      </c>
      <c r="E15">
        <v>10</v>
      </c>
      <c r="F15">
        <f>C15</f>
        <v>1</v>
      </c>
    </row>
    <row r="16" spans="1:10" x14ac:dyDescent="0.55000000000000004">
      <c r="A16" t="s">
        <v>206</v>
      </c>
      <c r="B16">
        <v>30</v>
      </c>
      <c r="C16">
        <v>2</v>
      </c>
      <c r="D16" t="s">
        <v>207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208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200</v>
      </c>
      <c r="E18">
        <v>10</v>
      </c>
      <c r="F18">
        <f>C18</f>
        <v>2</v>
      </c>
    </row>
    <row r="20" spans="1:9" x14ac:dyDescent="0.55000000000000004">
      <c r="A20" s="7" t="s">
        <v>209</v>
      </c>
      <c r="B20">
        <f>B21+B24+B28+B30</f>
        <v>60</v>
      </c>
      <c r="C20">
        <f>C21+C24+C28+1</f>
        <v>7</v>
      </c>
      <c r="D20" t="s">
        <v>195</v>
      </c>
      <c r="E20">
        <f>(E21*F21+E22*F22+E23*F23+E24*F24+E25*F25+E26*F26+E27*F27+E28*F28+(E29/990)*20*F29+E30*F30)/(F21+F22+F23+F24+F25+F26+F27+F28+F29+F30)</f>
        <v>10.76923076923077</v>
      </c>
      <c r="G20">
        <f>ROUND(E20,2)</f>
        <v>10.77</v>
      </c>
      <c r="H20">
        <v>7</v>
      </c>
      <c r="I20">
        <f>IF(G20&gt;=10,H20,0)</f>
        <v>7</v>
      </c>
    </row>
    <row r="21" spans="1:9" x14ac:dyDescent="0.55000000000000004">
      <c r="A21" t="s">
        <v>210</v>
      </c>
      <c r="B21">
        <v>20</v>
      </c>
      <c r="C21">
        <v>2</v>
      </c>
      <c r="D21" t="s">
        <v>211</v>
      </c>
      <c r="E21">
        <v>10</v>
      </c>
      <c r="F21">
        <f>C$21/3</f>
        <v>0.66666666666666663</v>
      </c>
    </row>
    <row r="22" spans="1:9" x14ac:dyDescent="0.55000000000000004">
      <c r="D22" t="s">
        <v>212</v>
      </c>
      <c r="E22" s="11">
        <v>10</v>
      </c>
      <c r="F22">
        <f>C$21/3</f>
        <v>0.66666666666666663</v>
      </c>
      <c r="H22" s="11"/>
    </row>
    <row r="23" spans="1:9" x14ac:dyDescent="0.55000000000000004">
      <c r="D23" t="s">
        <v>213</v>
      </c>
      <c r="E23">
        <v>10</v>
      </c>
      <c r="F23">
        <f>C$21/3</f>
        <v>0.66666666666666663</v>
      </c>
    </row>
    <row r="24" spans="1:9" x14ac:dyDescent="0.55000000000000004">
      <c r="A24" t="s">
        <v>214</v>
      </c>
      <c r="B24">
        <v>20</v>
      </c>
      <c r="C24">
        <v>2</v>
      </c>
      <c r="D24" t="s">
        <v>215</v>
      </c>
      <c r="E24">
        <v>10</v>
      </c>
      <c r="F24">
        <f>C$24/4</f>
        <v>0.5</v>
      </c>
    </row>
    <row r="25" spans="1:9" x14ac:dyDescent="0.55000000000000004">
      <c r="D25" t="s">
        <v>216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217</v>
      </c>
      <c r="E26">
        <v>10</v>
      </c>
      <c r="F26">
        <f t="shared" si="0"/>
        <v>0.5</v>
      </c>
    </row>
    <row r="27" spans="1:9" x14ac:dyDescent="0.55000000000000004">
      <c r="D27" t="s">
        <v>218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219</v>
      </c>
      <c r="E29">
        <v>495</v>
      </c>
      <c r="F29">
        <v>1</v>
      </c>
    </row>
    <row r="30" spans="1:9" x14ac:dyDescent="0.55000000000000004">
      <c r="A30" t="s">
        <v>220</v>
      </c>
      <c r="B30">
        <v>0</v>
      </c>
      <c r="C30">
        <v>0.5</v>
      </c>
      <c r="D30" t="s">
        <v>220</v>
      </c>
      <c r="E30">
        <v>20</v>
      </c>
      <c r="F30">
        <v>0.5</v>
      </c>
    </row>
    <row r="32" spans="1:9" x14ac:dyDescent="0.55000000000000004">
      <c r="A32" s="7" t="s">
        <v>221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222</v>
      </c>
      <c r="B33">
        <f>(G4*C4+G14*C14+G20*C20)/C32</f>
        <v>10.179666666666666</v>
      </c>
    </row>
    <row r="34" spans="1:2" x14ac:dyDescent="0.55000000000000004">
      <c r="A34" s="7" t="s">
        <v>223</v>
      </c>
      <c r="B34" s="3">
        <f>ROUND(B33,2)</f>
        <v>10.18</v>
      </c>
    </row>
    <row r="35" spans="1:2" x14ac:dyDescent="0.55000000000000004">
      <c r="A35" s="7" t="s">
        <v>298</v>
      </c>
      <c r="B35">
        <f>H4+H14+H20</f>
        <v>30</v>
      </c>
    </row>
    <row r="36" spans="1:2" x14ac:dyDescent="0.55000000000000004">
      <c r="A36" s="7" t="s">
        <v>299</v>
      </c>
      <c r="B36">
        <f>I4+I14+I20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topLeftCell="A13" zoomScale="85" zoomScaleNormal="85" workbookViewId="0">
      <selection activeCell="A21" sqref="A21:A22"/>
    </sheetView>
  </sheetViews>
  <sheetFormatPr baseColWidth="10" defaultRowHeight="14.4" x14ac:dyDescent="0.55000000000000004"/>
  <cols>
    <col min="1" max="1" width="33.47265625" bestFit="1" customWidth="1"/>
    <col min="2" max="2" width="15.05078125" bestFit="1" customWidth="1"/>
    <col min="4" max="4" width="21.3671875" bestFit="1" customWidth="1"/>
    <col min="7" max="7" width="20.9453125" bestFit="1" customWidth="1"/>
    <col min="8" max="8" width="18.3125" bestFit="1" customWidth="1"/>
    <col min="9" max="9" width="17.9453125" bestFit="1" customWidth="1"/>
  </cols>
  <sheetData>
    <row r="1" spans="1:9" ht="26.4" x14ac:dyDescent="1">
      <c r="A1" s="6" t="s">
        <v>231</v>
      </c>
      <c r="B1" s="7"/>
    </row>
    <row r="2" spans="1:9" ht="39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  <c r="H2" s="9" t="s">
        <v>301</v>
      </c>
      <c r="I2" s="9" t="s">
        <v>300</v>
      </c>
    </row>
    <row r="4" spans="1:9" x14ac:dyDescent="0.55000000000000004">
      <c r="A4" s="7" t="s">
        <v>226</v>
      </c>
      <c r="B4">
        <f>B5+B6</f>
        <v>395</v>
      </c>
      <c r="C4">
        <f>C5+C6</f>
        <v>12</v>
      </c>
      <c r="D4" t="s">
        <v>195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227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227</v>
      </c>
      <c r="E6">
        <v>10</v>
      </c>
      <c r="F6">
        <f>C6</f>
        <v>2</v>
      </c>
    </row>
    <row r="8" spans="1:9" x14ac:dyDescent="0.55000000000000004">
      <c r="A8" s="7" t="s">
        <v>228</v>
      </c>
      <c r="B8">
        <f>B9+B10+B11+B12+B13</f>
        <v>120</v>
      </c>
      <c r="C8">
        <f>C9+C10+C11+C12+C13</f>
        <v>8</v>
      </c>
      <c r="D8" t="s">
        <v>195</v>
      </c>
      <c r="E8">
        <f>(E9*F9+E10*F10+E11*F11+E12*F12)/(F9+F10+F11+F12)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s="22" t="s">
        <v>229</v>
      </c>
      <c r="B13">
        <v>30</v>
      </c>
      <c r="C13">
        <v>2</v>
      </c>
      <c r="D13" t="s">
        <v>5</v>
      </c>
      <c r="E13">
        <v>10</v>
      </c>
      <c r="F13">
        <f>C13</f>
        <v>2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195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230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221</v>
      </c>
      <c r="B18">
        <f>B4+B8+B15</f>
        <v>1015</v>
      </c>
      <c r="C18">
        <f>C15+C8+C4</f>
        <v>29</v>
      </c>
    </row>
    <row r="19" spans="1:3" x14ac:dyDescent="0.55000000000000004">
      <c r="A19" s="7" t="s">
        <v>222</v>
      </c>
      <c r="B19">
        <f>(G4*C4+G8*C8+G15*C15)/C18</f>
        <v>10</v>
      </c>
    </row>
    <row r="20" spans="1:3" x14ac:dyDescent="0.55000000000000004">
      <c r="A20" s="7" t="s">
        <v>223</v>
      </c>
      <c r="B20" s="3">
        <f>ROUND(B19,2)</f>
        <v>10</v>
      </c>
    </row>
    <row r="21" spans="1:3" x14ac:dyDescent="0.55000000000000004">
      <c r="A21" s="7" t="s">
        <v>298</v>
      </c>
      <c r="B21">
        <f>H4+H8+H15</f>
        <v>30</v>
      </c>
    </row>
    <row r="22" spans="1:3" x14ac:dyDescent="0.55000000000000004">
      <c r="A22" s="7" t="s">
        <v>299</v>
      </c>
      <c r="B22">
        <f>I4+I8+I15</f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M35"/>
  <sheetViews>
    <sheetView zoomScale="85" zoomScaleNormal="85" workbookViewId="0">
      <selection activeCell="C4" sqref="C4"/>
    </sheetView>
  </sheetViews>
  <sheetFormatPr baseColWidth="10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3" x14ac:dyDescent="0.55000000000000004">
      <c r="A1" t="s">
        <v>9</v>
      </c>
      <c r="B1" t="s">
        <v>10</v>
      </c>
      <c r="C1" t="s">
        <v>235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3" x14ac:dyDescent="0.55000000000000004">
      <c r="A2" t="s">
        <v>27</v>
      </c>
      <c r="B2" t="s">
        <v>30</v>
      </c>
      <c r="C2" t="s">
        <v>236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</row>
    <row r="3" spans="1:13" x14ac:dyDescent="0.55000000000000004">
      <c r="A3" t="s">
        <v>28</v>
      </c>
      <c r="B3" t="s">
        <v>31</v>
      </c>
      <c r="C3" t="s">
        <v>237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</row>
    <row r="4" spans="1:13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3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3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3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3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3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3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3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3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3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3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3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3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zoomScale="70" zoomScaleNormal="70" workbookViewId="0">
      <selection activeCell="I5" sqref="I5"/>
    </sheetView>
  </sheetViews>
  <sheetFormatPr baseColWidth="10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7" max="7" width="21.1015625" customWidth="1"/>
    <col min="8" max="8" width="18.3125" bestFit="1" customWidth="1"/>
    <col min="9" max="9" width="17.9453125" bestFit="1" customWidth="1"/>
  </cols>
  <sheetData>
    <row r="1" spans="1:9" ht="26.4" x14ac:dyDescent="1">
      <c r="A1" s="6" t="s">
        <v>232</v>
      </c>
      <c r="B1" s="7"/>
    </row>
    <row r="2" spans="1:9" ht="39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  <c r="H2" s="9" t="s">
        <v>301</v>
      </c>
      <c r="I2" s="9" t="s">
        <v>300</v>
      </c>
    </row>
    <row r="4" spans="1:9" x14ac:dyDescent="0.55000000000000004">
      <c r="A4" s="7" t="s">
        <v>233</v>
      </c>
      <c r="B4" s="21">
        <f>B5+B6+B7+B8+B9</f>
        <v>365</v>
      </c>
      <c r="C4" s="21">
        <f>C5+C6+C7+C8+C9</f>
        <v>6</v>
      </c>
      <c r="D4" t="s">
        <v>195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s="21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s="21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234</v>
      </c>
      <c r="B11">
        <f>B12+B13+B14</f>
        <v>60</v>
      </c>
      <c r="C11">
        <f>C12+C13+C14</f>
        <v>4</v>
      </c>
      <c r="D11" t="s">
        <v>195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238</v>
      </c>
      <c r="B16">
        <f>B17+B18+B19</f>
        <v>90</v>
      </c>
      <c r="C16">
        <f>C17+C18+C19</f>
        <v>6</v>
      </c>
      <c r="D16" t="s">
        <v>195</v>
      </c>
      <c r="E16" s="21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239</v>
      </c>
      <c r="B21">
        <f>B22+B23+B24</f>
        <v>90</v>
      </c>
      <c r="C21">
        <f>C22+C23+C24</f>
        <v>6</v>
      </c>
      <c r="D21" t="s">
        <v>195</v>
      </c>
      <c r="E21" s="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240</v>
      </c>
      <c r="B26">
        <f>B27+B28+B29</f>
        <v>90</v>
      </c>
      <c r="C26">
        <f>C27+C28+C29</f>
        <v>6</v>
      </c>
      <c r="D26" t="s">
        <v>195</v>
      </c>
      <c r="E26" s="21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221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222</v>
      </c>
      <c r="B32" s="16">
        <f>(G4*C4+G11*C11+G16*C16+C21*G21+C26*G26)/C31</f>
        <v>10</v>
      </c>
    </row>
    <row r="33" spans="1:2" x14ac:dyDescent="0.55000000000000004">
      <c r="A33" s="7" t="s">
        <v>223</v>
      </c>
      <c r="B33" s="3">
        <f>ROUND(B32,2)</f>
        <v>10</v>
      </c>
    </row>
    <row r="34" spans="1:2" x14ac:dyDescent="0.55000000000000004">
      <c r="A34" s="7" t="s">
        <v>298</v>
      </c>
      <c r="B34">
        <f>H4+H11+H16+H21+H26</f>
        <v>30</v>
      </c>
    </row>
    <row r="35" spans="1:2" x14ac:dyDescent="0.55000000000000004">
      <c r="A35" s="7" t="s">
        <v>299</v>
      </c>
      <c r="B35">
        <f>I4+I11+I16+I21+I26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tabSelected="1" workbookViewId="0">
      <selection activeCell="I10" sqref="I10"/>
    </sheetView>
  </sheetViews>
  <sheetFormatPr baseColWidth="10" defaultRowHeight="14.4" x14ac:dyDescent="0.55000000000000004"/>
  <cols>
    <col min="1" max="1" width="36.7890625" bestFit="1" customWidth="1"/>
    <col min="2" max="2" width="14.945312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6.83984375" bestFit="1" customWidth="1"/>
    <col min="7" max="7" width="20.62890625" bestFit="1" customWidth="1"/>
    <col min="8" max="8" width="24.15625" bestFit="1" customWidth="1"/>
    <col min="9" max="9" width="18.3125" bestFit="1" customWidth="1"/>
    <col min="10" max="10" width="20.9453125" bestFit="1" customWidth="1"/>
  </cols>
  <sheetData>
    <row r="1" spans="1:9" ht="26.4" x14ac:dyDescent="1">
      <c r="A1" s="6" t="s">
        <v>241</v>
      </c>
      <c r="B1" s="7"/>
      <c r="C1" s="21"/>
    </row>
    <row r="2" spans="1:9" ht="39" x14ac:dyDescent="0.75">
      <c r="A2" s="8" t="s">
        <v>190</v>
      </c>
      <c r="B2" s="8" t="s">
        <v>191</v>
      </c>
      <c r="C2" s="8" t="s">
        <v>192</v>
      </c>
      <c r="D2" s="8"/>
      <c r="E2" s="8" t="s">
        <v>193</v>
      </c>
      <c r="F2" s="8" t="s">
        <v>192</v>
      </c>
      <c r="G2" s="9" t="s">
        <v>224</v>
      </c>
      <c r="H2" s="9" t="s">
        <v>301</v>
      </c>
      <c r="I2" s="9" t="s">
        <v>300</v>
      </c>
    </row>
    <row r="4" spans="1:9" x14ac:dyDescent="0.55000000000000004">
      <c r="A4" s="7" t="s">
        <v>242</v>
      </c>
      <c r="B4">
        <f>B5</f>
        <v>0</v>
      </c>
      <c r="C4">
        <f>C5</f>
        <v>0</v>
      </c>
      <c r="D4" t="s">
        <v>195</v>
      </c>
      <c r="E4" s="21">
        <f>IF('Read me'!B5="OUI",(E5*F5)/(F5),E5)</f>
        <v>10</v>
      </c>
      <c r="G4">
        <f>ROUND(E4, 2)</f>
        <v>10</v>
      </c>
      <c r="H4">
        <f>IF('Read me'!B5="OUI",4,0)</f>
        <v>0</v>
      </c>
      <c r="I4" s="22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 s="21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243</v>
      </c>
      <c r="B7">
        <f>B8</f>
        <v>0</v>
      </c>
      <c r="C7">
        <f>C8</f>
        <v>0</v>
      </c>
      <c r="D7" t="s">
        <v>195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22">
        <f>IF(G7&gt;=10,H7,0)</f>
        <v>0</v>
      </c>
    </row>
    <row r="8" spans="1:9" x14ac:dyDescent="0.55000000000000004">
      <c r="A8" t="s">
        <v>244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243</v>
      </c>
      <c r="B10">
        <f>B11</f>
        <v>750</v>
      </c>
      <c r="C10">
        <f>C11</f>
        <v>30</v>
      </c>
      <c r="D10" t="s">
        <v>195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 s="22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221</v>
      </c>
      <c r="B13" s="21">
        <f>IF('Read me'!B5="OUI",B4+B7,B10)</f>
        <v>750</v>
      </c>
      <c r="C13">
        <f>C10+C7+C4</f>
        <v>30</v>
      </c>
    </row>
    <row r="14" spans="1:9" x14ac:dyDescent="0.55000000000000004">
      <c r="A14" s="7" t="s">
        <v>222</v>
      </c>
      <c r="B14" s="16">
        <f>(G4*C4+G7*C7+G10*C10)/C13</f>
        <v>10</v>
      </c>
    </row>
    <row r="15" spans="1:9" x14ac:dyDescent="0.55000000000000004">
      <c r="A15" s="7" t="s">
        <v>223</v>
      </c>
      <c r="B15" s="3">
        <f>ROUND(B14,2)</f>
        <v>10</v>
      </c>
    </row>
    <row r="16" spans="1:9" x14ac:dyDescent="0.55000000000000004">
      <c r="A16" s="7" t="s">
        <v>298</v>
      </c>
      <c r="B16">
        <f>H4+H7+H10</f>
        <v>30</v>
      </c>
    </row>
    <row r="17" spans="1:2" x14ac:dyDescent="0.55000000000000004">
      <c r="A17" s="7" t="s">
        <v>299</v>
      </c>
      <c r="B17" s="22">
        <f>I4+I7+I10</f>
        <v>30</v>
      </c>
    </row>
  </sheetData>
  <conditionalFormatting sqref="G4">
    <cfRule type="expression" dxfId="15" priority="10">
      <formula>G4&gt;11</formula>
    </cfRule>
    <cfRule type="expression" dxfId="14" priority="11">
      <formula>G4&gt;=10</formula>
    </cfRule>
    <cfRule type="expression" dxfId="13" priority="12">
      <formula>G4&lt;10</formula>
    </cfRule>
  </conditionalFormatting>
  <conditionalFormatting sqref="G7">
    <cfRule type="expression" dxfId="12" priority="7">
      <formula>G7&gt;11</formula>
    </cfRule>
    <cfRule type="expression" dxfId="11" priority="8">
      <formula>G7&gt;=10</formula>
    </cfRule>
    <cfRule type="expression" dxfId="10" priority="9">
      <formula>G7&lt;10</formula>
    </cfRule>
  </conditionalFormatting>
  <conditionalFormatting sqref="G10">
    <cfRule type="expression" dxfId="7" priority="6">
      <formula>G10&lt;10</formula>
    </cfRule>
    <cfRule type="expression" dxfId="6" priority="5">
      <formula>G10&gt;=10</formula>
    </cfRule>
    <cfRule type="expression" dxfId="5" priority="4">
      <formula>G10&gt;11</formula>
    </cfRule>
  </conditionalFormatting>
  <conditionalFormatting sqref="B15">
    <cfRule type="expression" dxfId="9" priority="3">
      <formula>B15&lt;10</formula>
    </cfRule>
    <cfRule type="expression" dxfId="8" priority="2">
      <formula>B15&gt;=10</formula>
    </cfRule>
    <cfRule type="expression" dxfId="4" priority="1">
      <formula>B15&gt;11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baseColWidth="10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A1"/>
  <sheetViews>
    <sheetView topLeftCell="G1" workbookViewId="0">
      <selection activeCell="G1" sqref="G1"/>
    </sheetView>
  </sheetViews>
  <sheetFormatPr baseColWidth="10"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baseColWidth="10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Arthur GROSSMANN--LE MAUGUEN (M1_NANTES TC)</cp:lastModifiedBy>
  <dcterms:created xsi:type="dcterms:W3CDTF">2025-02-24T14:52:18Z</dcterms:created>
  <dcterms:modified xsi:type="dcterms:W3CDTF">2025-03-01T18:41:48Z</dcterms:modified>
</cp:coreProperties>
</file>